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Dane Dell MT 27122017\Dane\Umowy\WaySun\Dokumenty - wzory\"/>
    </mc:Choice>
  </mc:AlternateContent>
  <xr:revisionPtr revIDLastSave="0" documentId="13_ncr:1_{788174F1-05F4-47F6-B777-57D3980440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phaESS-ESS TRC" sheetId="1" r:id="rId1"/>
  </sheets>
  <definedNames>
    <definedName name="_xlnm.Print_Area" localSheetId="0">'AlphaESS-ESS TRC'!$A$1:$G$105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3" i="1" l="1"/>
  <c r="E92" i="1"/>
  <c r="E91" i="1"/>
  <c r="F92" i="1"/>
  <c r="F91" i="1"/>
  <c r="B95" i="1"/>
  <c r="B85" i="1"/>
  <c r="B82" i="1"/>
  <c r="B74" i="1"/>
  <c r="B73" i="1"/>
  <c r="E51" i="1"/>
  <c r="C51" i="1"/>
  <c r="B51" i="1"/>
  <c r="B42" i="1"/>
  <c r="B41" i="1"/>
  <c r="B40" i="1"/>
  <c r="A79" i="1"/>
  <c r="B89" i="1"/>
  <c r="A104" i="1"/>
  <c r="A103" i="1"/>
  <c r="B64" i="1"/>
  <c r="B55" i="1"/>
  <c r="B83" i="1"/>
  <c r="B84" i="1"/>
  <c r="B87" i="1"/>
  <c r="D86" i="1"/>
  <c r="B86" i="1"/>
  <c r="B91" i="1"/>
  <c r="B80" i="1"/>
  <c r="B71" i="1"/>
  <c r="B70" i="1"/>
  <c r="F39" i="1"/>
  <c r="D39" i="1"/>
  <c r="B39" i="1"/>
  <c r="E36" i="1"/>
  <c r="C36" i="1"/>
  <c r="B7" i="1"/>
  <c r="B9" i="1"/>
  <c r="C8" i="1"/>
  <c r="E8" i="1"/>
  <c r="D61" i="1"/>
  <c r="D60" i="1"/>
  <c r="D59" i="1"/>
  <c r="D58" i="1"/>
  <c r="B68" i="1"/>
  <c r="B66" i="1"/>
  <c r="B48" i="1"/>
  <c r="B62" i="1"/>
  <c r="B61" i="1"/>
  <c r="B60" i="1"/>
  <c r="B59" i="1"/>
  <c r="B58" i="1"/>
  <c r="B57" i="1"/>
  <c r="B53" i="1"/>
  <c r="B50" i="1"/>
  <c r="B49" i="1"/>
  <c r="B46" i="1"/>
  <c r="B44" i="1"/>
  <c r="B37" i="1"/>
  <c r="D33" i="1"/>
  <c r="B32" i="1"/>
  <c r="B33" i="1"/>
  <c r="C30" i="1"/>
  <c r="C29" i="1"/>
  <c r="B25" i="1"/>
  <c r="B21" i="1"/>
  <c r="C22" i="1"/>
  <c r="B23" i="1"/>
  <c r="B22" i="1"/>
  <c r="E9" i="1"/>
  <c r="C19" i="1"/>
  <c r="B18" i="1"/>
  <c r="B19" i="1"/>
  <c r="E18" i="1"/>
  <c r="C18" i="1"/>
  <c r="B17" i="1"/>
  <c r="D37" i="1"/>
  <c r="B36" i="1"/>
  <c r="B35" i="1"/>
  <c r="B28" i="1"/>
  <c r="B14" i="1"/>
  <c r="A27" i="1"/>
  <c r="B10" i="1"/>
  <c r="C9" i="1"/>
  <c r="D15" i="1"/>
  <c r="B15" i="1"/>
  <c r="D12" i="1"/>
  <c r="C12" i="1"/>
  <c r="B12" i="1"/>
  <c r="B8" i="1"/>
  <c r="A1" i="1"/>
  <c r="F2" i="1"/>
  <c r="D2" i="1"/>
  <c r="B2" i="1"/>
  <c r="A4" i="1"/>
  <c r="B5" i="1"/>
  <c r="B101" i="1"/>
  <c r="B100" i="1"/>
  <c r="B99" i="1"/>
  <c r="B98" i="1"/>
  <c r="B97" i="1"/>
  <c r="B96" i="1"/>
  <c r="F95" i="1"/>
  <c r="E80" i="1"/>
  <c r="F70" i="1"/>
  <c r="G58" i="1"/>
  <c r="F58" i="1"/>
  <c r="F55" i="1"/>
  <c r="F41" i="1"/>
  <c r="C38" i="1"/>
  <c r="G28" i="1"/>
  <c r="G3" i="1"/>
</calcChain>
</file>

<file path=xl/sharedStrings.xml><?xml version="1.0" encoding="utf-8"?>
<sst xmlns="http://schemas.openxmlformats.org/spreadsheetml/2006/main" count="34" uniqueCount="25">
  <si>
    <t>V03</t>
  </si>
  <si>
    <t>Poland</t>
  </si>
  <si>
    <t>No limit</t>
  </si>
  <si>
    <t>Yes</t>
  </si>
  <si>
    <t>230/400V</t>
  </si>
  <si>
    <t>3L+PE</t>
  </si>
  <si>
    <t>60Hz</t>
  </si>
  <si>
    <t>AC 415(3-Phase)</t>
  </si>
  <si>
    <t>DC( 400 to 1000) &amp; AC 415(3-Phase)</t>
  </si>
  <si>
    <t xml:space="preserve">35KV       </t>
  </si>
  <si>
    <t xml:space="preserve">10KV     </t>
  </si>
  <si>
    <t>0-8h</t>
  </si>
  <si>
    <t>8-12h</t>
  </si>
  <si>
    <t>12-17h</t>
  </si>
  <si>
    <t>17-24h</t>
  </si>
  <si>
    <t xml:space="preserve"> DC</t>
  </si>
  <si>
    <t xml:space="preserve"> AC</t>
  </si>
  <si>
    <t xml:space="preserve"> Hybrid</t>
  </si>
  <si>
    <t>纯并网</t>
  </si>
  <si>
    <t>ModbusTCP</t>
  </si>
  <si>
    <t>Mode1</t>
  </si>
  <si>
    <t>Wewnątrz budynku</t>
  </si>
  <si>
    <t>5.1</t>
  </si>
  <si>
    <t>5.2</t>
  </si>
  <si>
    <t>Polski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</si>
</sst>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sz val="10.5"/>
      <color theme="0"/>
      <name val="Arial"/>
      <family val="2"/>
      <charset val="238"/>
    </font>
    <font>
      <sz val="10.5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theme="1"/>
      <name val="宋体"/>
      <charset val="134"/>
    </font>
    <font>
      <sz val="11"/>
      <color theme="0"/>
      <name val="Arial"/>
      <family val="2"/>
      <charset val="238"/>
    </font>
    <font>
      <sz val="10"/>
      <color rgb="FF0C343D"/>
      <name val="Verdana"/>
      <family val="2"/>
      <charset val="238"/>
    </font>
    <font>
      <b/>
      <sz val="11"/>
      <color theme="1"/>
      <name val="宋体"/>
      <charset val="134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206518753624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2" borderId="4" xfId="0" applyFont="1" applyFill="1" applyBorder="1" applyProtection="1">
      <alignment vertical="center"/>
      <protection hidden="1"/>
    </xf>
    <xf numFmtId="0" fontId="3" fillId="2" borderId="5" xfId="0" applyFont="1" applyFill="1" applyBorder="1" applyAlignment="1" applyProtection="1">
      <alignment horizontal="right" vertical="center"/>
      <protection hidden="1"/>
    </xf>
    <xf numFmtId="14" fontId="1" fillId="2" borderId="6" xfId="0" applyNumberFormat="1" applyFont="1" applyFill="1" applyBorder="1" applyProtection="1">
      <alignment vertical="center"/>
      <protection locked="0"/>
    </xf>
    <xf numFmtId="0" fontId="1" fillId="2" borderId="6" xfId="0" applyFont="1" applyFill="1" applyBorder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4" fillId="2" borderId="0" xfId="0" applyFont="1" applyFill="1" applyProtection="1">
      <alignment vertical="center"/>
      <protection hidden="1"/>
    </xf>
    <xf numFmtId="0" fontId="5" fillId="2" borderId="9" xfId="0" applyFont="1" applyFill="1" applyBorder="1" applyProtection="1">
      <alignment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Protection="1">
      <alignment vertical="center"/>
      <protection hidden="1"/>
    </xf>
    <xf numFmtId="0" fontId="1" fillId="2" borderId="7" xfId="0" applyFont="1" applyFill="1" applyBorder="1" applyProtection="1">
      <alignment vertical="center"/>
      <protection hidden="1"/>
    </xf>
    <xf numFmtId="0" fontId="1" fillId="2" borderId="0" xfId="0" applyFont="1" applyFill="1" applyProtection="1">
      <alignment vertical="center"/>
      <protection hidden="1"/>
    </xf>
    <xf numFmtId="0" fontId="1" fillId="2" borderId="9" xfId="0" applyFont="1" applyFill="1" applyBorder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>
      <alignment vertical="center"/>
    </xf>
    <xf numFmtId="0" fontId="1" fillId="2" borderId="10" xfId="0" applyFont="1" applyFill="1" applyBorder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Protection="1">
      <alignment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Protection="1">
      <alignment vertical="center"/>
      <protection hidden="1"/>
    </xf>
    <xf numFmtId="0" fontId="1" fillId="2" borderId="12" xfId="0" applyFont="1" applyFill="1" applyBorder="1" applyProtection="1">
      <alignment vertical="center"/>
      <protection hidden="1"/>
    </xf>
    <xf numFmtId="0" fontId="1" fillId="2" borderId="13" xfId="0" applyFont="1" applyFill="1" applyBorder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Protection="1">
      <alignment vertical="center"/>
      <protection hidden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Protection="1">
      <alignment vertical="center"/>
      <protection hidden="1"/>
    </xf>
    <xf numFmtId="0" fontId="7" fillId="2" borderId="9" xfId="0" applyFont="1" applyFill="1" applyBorder="1" applyProtection="1">
      <alignment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0" borderId="10" xfId="0" applyFont="1" applyBorder="1" applyProtection="1">
      <alignment vertical="center"/>
      <protection locked="0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Protection="1">
      <alignment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left" vertical="center"/>
      <protection locked="0" hidden="1"/>
    </xf>
    <xf numFmtId="0" fontId="1" fillId="2" borderId="10" xfId="0" applyFont="1" applyFill="1" applyBorder="1" applyAlignment="1" applyProtection="1">
      <alignment horizontal="left"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Protection="1">
      <alignment vertical="center"/>
      <protection hidden="1"/>
    </xf>
    <xf numFmtId="0" fontId="1" fillId="2" borderId="0" xfId="0" applyFont="1" applyFill="1" applyAlignment="1" applyProtection="1">
      <alignment horizontal="right" vertical="center"/>
      <protection hidden="1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10" fillId="0" borderId="0" xfId="0" applyFont="1">
      <alignment vertical="center"/>
    </xf>
    <xf numFmtId="0" fontId="1" fillId="2" borderId="0" xfId="0" applyFont="1" applyFill="1" applyAlignment="1" applyProtection="1">
      <alignment horizontal="left" vertical="center"/>
      <protection hidden="1"/>
    </xf>
    <xf numFmtId="0" fontId="9" fillId="2" borderId="9" xfId="0" applyFont="1" applyFill="1" applyBorder="1" applyProtection="1">
      <alignment vertical="center"/>
      <protection hidden="1"/>
    </xf>
    <xf numFmtId="0" fontId="1" fillId="2" borderId="10" xfId="0" applyFont="1" applyFill="1" applyBorder="1" applyProtection="1">
      <alignment vertical="center"/>
      <protection hidden="1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14" xfId="0" applyFont="1" applyFill="1" applyBorder="1" applyProtection="1">
      <alignment vertical="center"/>
      <protection hidden="1"/>
    </xf>
    <xf numFmtId="0" fontId="1" fillId="2" borderId="14" xfId="0" applyFont="1" applyFill="1" applyBorder="1" applyProtection="1">
      <alignment vertical="center"/>
      <protection locked="0"/>
    </xf>
    <xf numFmtId="0" fontId="1" fillId="2" borderId="15" xfId="0" applyFont="1" applyFill="1" applyBorder="1" applyProtection="1">
      <alignment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vertical="center" wrapText="1"/>
      <protection hidden="1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Protection="1">
      <alignment vertical="center"/>
      <protection hidden="1"/>
    </xf>
    <xf numFmtId="0" fontId="12" fillId="0" borderId="0" xfId="0" applyFont="1" applyProtection="1">
      <alignment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>
      <alignment vertical="center"/>
    </xf>
    <xf numFmtId="0" fontId="3" fillId="0" borderId="0" xfId="0" applyFont="1" applyProtection="1">
      <alignment vertical="center"/>
      <protection hidden="1"/>
    </xf>
    <xf numFmtId="0" fontId="1" fillId="2" borderId="16" xfId="0" applyFont="1" applyFill="1" applyBorder="1" applyProtection="1">
      <alignment vertical="center"/>
      <protection locked="0"/>
    </xf>
    <xf numFmtId="0" fontId="13" fillId="2" borderId="7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49" fontId="14" fillId="2" borderId="8" xfId="0" applyNumberFormat="1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top" wrapText="1"/>
      <protection hidden="1"/>
    </xf>
    <xf numFmtId="0" fontId="1" fillId="2" borderId="5" xfId="0" applyFont="1" applyFill="1" applyBorder="1" applyAlignment="1" applyProtection="1">
      <alignment horizontal="left" vertical="top"/>
      <protection hidden="1"/>
    </xf>
    <xf numFmtId="0" fontId="1" fillId="2" borderId="7" xfId="0" applyFont="1" applyFill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left" vertical="center"/>
      <protection locked="0"/>
    </xf>
  </cellXfs>
  <cellStyles count="1">
    <cellStyle name="Normalny" xfId="0" builtinId="0"/>
  </cellStyles>
  <dxfs count="20">
    <dxf>
      <font>
        <color theme="0"/>
      </font>
      <border>
        <bottom/>
      </border>
    </dxf>
    <dxf>
      <font>
        <color theme="0"/>
      </font>
      <border>
        <bottom/>
      </border>
    </dxf>
    <dxf>
      <font>
        <color theme="0"/>
      </font>
      <border>
        <bottom/>
      </border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 patternType="solid">
          <bgColor theme="0"/>
        </patternFill>
      </fill>
      <border>
        <bottom/>
      </border>
    </dxf>
    <dxf>
      <font>
        <color theme="0"/>
      </font>
      <fill>
        <patternFill patternType="solid">
          <bgColor theme="0"/>
        </patternFill>
      </fill>
      <border>
        <bottom/>
      </border>
    </dxf>
    <dxf>
      <font>
        <color theme="0"/>
      </font>
      <border>
        <left/>
        <right/>
        <top/>
        <bottom/>
      </border>
    </dxf>
    <dxf>
      <border>
        <bottom style="thin">
          <color auto="1"/>
        </bottom>
      </border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1"/>
      </font>
      <border>
        <bottom style="thin">
          <color auto="1"/>
        </bottom>
      </border>
    </dxf>
    <dxf>
      <font>
        <color theme="0"/>
      </font>
      <fill>
        <patternFill patternType="solid">
          <bgColor theme="0"/>
        </patternFill>
      </fill>
      <border>
        <bottom/>
      </border>
    </dxf>
    <dxf>
      <font>
        <color theme="0"/>
      </font>
      <fill>
        <patternFill patternType="solid">
          <bgColor theme="0"/>
        </patternFill>
      </fill>
      <border>
        <bottom/>
      </border>
    </dxf>
    <dxf>
      <font>
        <color theme="0"/>
      </font>
      <fill>
        <patternFill patternType="solid">
          <bgColor theme="0"/>
        </patternFill>
      </fill>
      <border>
        <bottom/>
      </border>
    </dxf>
    <dxf>
      <border>
        <bottom style="thin">
          <color auto="1"/>
        </bottom>
      </border>
    </dxf>
    <dxf>
      <font>
        <color theme="0"/>
      </font>
      <fill>
        <patternFill patternType="solid">
          <bgColor theme="0"/>
        </patternFill>
      </fill>
      <border>
        <bottom/>
      </border>
    </dxf>
    <dxf>
      <font>
        <color theme="0"/>
      </font>
      <fill>
        <patternFill patternType="solid">
          <bgColor theme="0"/>
        </patternFill>
      </fill>
      <border>
        <bottom/>
      </border>
    </dxf>
    <dxf>
      <font>
        <color theme="0"/>
      </font>
      <fill>
        <patternFill patternType="solid">
          <fgColor theme="0"/>
          <bgColor theme="0"/>
        </patternFill>
      </fill>
      <border>
        <bottom/>
      </border>
    </dxf>
    <dxf>
      <font>
        <color theme="0"/>
      </font>
      <fill>
        <patternFill patternType="solid">
          <fgColor theme="0"/>
          <bgColor theme="0"/>
        </patternFill>
      </fill>
      <border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7</xdr:row>
          <xdr:rowOff>19050</xdr:rowOff>
        </xdr:from>
        <xdr:to>
          <xdr:col>1</xdr:col>
          <xdr:colOff>514350</xdr:colOff>
          <xdr:row>7</xdr:row>
          <xdr:rowOff>285750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8</xdr:row>
          <xdr:rowOff>19050</xdr:rowOff>
        </xdr:from>
        <xdr:to>
          <xdr:col>1</xdr:col>
          <xdr:colOff>514350</xdr:colOff>
          <xdr:row>8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9</xdr:row>
          <xdr:rowOff>19050</xdr:rowOff>
        </xdr:from>
        <xdr:to>
          <xdr:col>1</xdr:col>
          <xdr:colOff>514350</xdr:colOff>
          <xdr:row>9</xdr:row>
          <xdr:rowOff>285750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1200150</xdr:colOff>
          <xdr:row>7</xdr:row>
          <xdr:rowOff>19050</xdr:rowOff>
        </xdr:from>
        <xdr:to>
          <xdr:col>1</xdr:col>
          <xdr:colOff>1790700</xdr:colOff>
          <xdr:row>7</xdr:row>
          <xdr:rowOff>285750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1200150</xdr:colOff>
          <xdr:row>8</xdr:row>
          <xdr:rowOff>19050</xdr:rowOff>
        </xdr:from>
        <xdr:to>
          <xdr:col>1</xdr:col>
          <xdr:colOff>1790700</xdr:colOff>
          <xdr:row>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1123950</xdr:colOff>
          <xdr:row>7</xdr:row>
          <xdr:rowOff>19050</xdr:rowOff>
        </xdr:from>
        <xdr:to>
          <xdr:col>4</xdr:col>
          <xdr:colOff>400050</xdr:colOff>
          <xdr:row>8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1047750</xdr:colOff>
          <xdr:row>8</xdr:row>
          <xdr:rowOff>19050</xdr:rowOff>
        </xdr:from>
        <xdr:to>
          <xdr:col>4</xdr:col>
          <xdr:colOff>323850</xdr:colOff>
          <xdr:row>8</xdr:row>
          <xdr:rowOff>285750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1209675</xdr:colOff>
          <xdr:row>11</xdr:row>
          <xdr:rowOff>28575</xdr:rowOff>
        </xdr:from>
        <xdr:to>
          <xdr:col>1</xdr:col>
          <xdr:colOff>1800225</xdr:colOff>
          <xdr:row>11</xdr:row>
          <xdr:rowOff>266700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16</xdr:row>
          <xdr:rowOff>285750</xdr:rowOff>
        </xdr:from>
        <xdr:to>
          <xdr:col>1</xdr:col>
          <xdr:colOff>523875</xdr:colOff>
          <xdr:row>17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18</xdr:row>
          <xdr:rowOff>19050</xdr:rowOff>
        </xdr:from>
        <xdr:to>
          <xdr:col>1</xdr:col>
          <xdr:colOff>523875</xdr:colOff>
          <xdr:row>18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1209675</xdr:colOff>
          <xdr:row>17</xdr:row>
          <xdr:rowOff>19050</xdr:rowOff>
        </xdr:from>
        <xdr:to>
          <xdr:col>1</xdr:col>
          <xdr:colOff>1800225</xdr:colOff>
          <xdr:row>17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1209675</xdr:colOff>
          <xdr:row>18</xdr:row>
          <xdr:rowOff>19050</xdr:rowOff>
        </xdr:from>
        <xdr:to>
          <xdr:col>1</xdr:col>
          <xdr:colOff>1800225</xdr:colOff>
          <xdr:row>18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17</xdr:row>
          <xdr:rowOff>19050</xdr:rowOff>
        </xdr:from>
        <xdr:to>
          <xdr:col>4</xdr:col>
          <xdr:colOff>342900</xdr:colOff>
          <xdr:row>17</xdr:row>
          <xdr:rowOff>285750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</xdr:row>
          <xdr:rowOff>19050</xdr:rowOff>
        </xdr:from>
        <xdr:to>
          <xdr:col>1</xdr:col>
          <xdr:colOff>523875</xdr:colOff>
          <xdr:row>21</xdr:row>
          <xdr:rowOff>285750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1323975</xdr:colOff>
          <xdr:row>21</xdr:row>
          <xdr:rowOff>19050</xdr:rowOff>
        </xdr:from>
        <xdr:to>
          <xdr:col>1</xdr:col>
          <xdr:colOff>1914525</xdr:colOff>
          <xdr:row>21</xdr:row>
          <xdr:rowOff>285750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19050</xdr:rowOff>
        </xdr:from>
        <xdr:to>
          <xdr:col>1</xdr:col>
          <xdr:colOff>523875</xdr:colOff>
          <xdr:row>22</xdr:row>
          <xdr:rowOff>285750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11</xdr:row>
          <xdr:rowOff>19050</xdr:rowOff>
        </xdr:from>
        <xdr:to>
          <xdr:col>3</xdr:col>
          <xdr:colOff>438150</xdr:colOff>
          <xdr:row>11</xdr:row>
          <xdr:rowOff>266700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66</xdr:row>
          <xdr:rowOff>19050</xdr:rowOff>
        </xdr:from>
        <xdr:to>
          <xdr:col>1</xdr:col>
          <xdr:colOff>504825</xdr:colOff>
          <xdr:row>66</xdr:row>
          <xdr:rowOff>266700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1209675</xdr:colOff>
          <xdr:row>66</xdr:row>
          <xdr:rowOff>19050</xdr:rowOff>
        </xdr:from>
        <xdr:to>
          <xdr:col>1</xdr:col>
          <xdr:colOff>1809750</xdr:colOff>
          <xdr:row>66</xdr:row>
          <xdr:rowOff>285750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35</xdr:row>
          <xdr:rowOff>57150</xdr:rowOff>
        </xdr:from>
        <xdr:to>
          <xdr:col>1</xdr:col>
          <xdr:colOff>533400</xdr:colOff>
          <xdr:row>35</xdr:row>
          <xdr:rowOff>228600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36</xdr:row>
          <xdr:rowOff>57150</xdr:rowOff>
        </xdr:from>
        <xdr:to>
          <xdr:col>1</xdr:col>
          <xdr:colOff>533400</xdr:colOff>
          <xdr:row>36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1209675</xdr:colOff>
          <xdr:row>35</xdr:row>
          <xdr:rowOff>57150</xdr:rowOff>
        </xdr:from>
        <xdr:to>
          <xdr:col>1</xdr:col>
          <xdr:colOff>1800225</xdr:colOff>
          <xdr:row>35</xdr:row>
          <xdr:rowOff>228600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36</xdr:row>
          <xdr:rowOff>38100</xdr:rowOff>
        </xdr:from>
        <xdr:to>
          <xdr:col>3</xdr:col>
          <xdr:colOff>447675</xdr:colOff>
          <xdr:row>36</xdr:row>
          <xdr:rowOff>247650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35</xdr:row>
          <xdr:rowOff>57150</xdr:rowOff>
        </xdr:from>
        <xdr:to>
          <xdr:col>4</xdr:col>
          <xdr:colOff>342900</xdr:colOff>
          <xdr:row>35</xdr:row>
          <xdr:rowOff>228600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1238250</xdr:colOff>
          <xdr:row>50</xdr:row>
          <xdr:rowOff>57150</xdr:rowOff>
        </xdr:from>
        <xdr:to>
          <xdr:col>1</xdr:col>
          <xdr:colOff>1809750</xdr:colOff>
          <xdr:row>50</xdr:row>
          <xdr:rowOff>228600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429907</xdr:colOff>
      <xdr:row>79</xdr:row>
      <xdr:rowOff>137084</xdr:rowOff>
    </xdr:from>
    <xdr:to>
      <xdr:col>6</xdr:col>
      <xdr:colOff>875180</xdr:colOff>
      <xdr:row>81</xdr:row>
      <xdr:rowOff>172384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7855" y="21697950"/>
          <a:ext cx="2114550" cy="559435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81</xdr:row>
      <xdr:rowOff>190500</xdr:rowOff>
    </xdr:from>
    <xdr:to>
      <xdr:col>7</xdr:col>
      <xdr:colOff>3313</xdr:colOff>
      <xdr:row>84</xdr:row>
      <xdr:rowOff>172943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909435" y="22275800"/>
          <a:ext cx="2213610" cy="877570"/>
        </a:xfrm>
        <a:prstGeom prst="rect">
          <a:avLst/>
        </a:prstGeom>
      </xdr:spPr>
    </xdr:pic>
    <xdr:clientData/>
  </xdr:twoCellAnchor>
  <xdr:twoCellAnchor editAs="oneCell">
    <xdr:from>
      <xdr:col>5</xdr:col>
      <xdr:colOff>349250</xdr:colOff>
      <xdr:row>84</xdr:row>
      <xdr:rowOff>191135</xdr:rowOff>
    </xdr:from>
    <xdr:to>
      <xdr:col>6</xdr:col>
      <xdr:colOff>889924</xdr:colOff>
      <xdr:row>88</xdr:row>
      <xdr:rowOff>54983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48026" y="22728406"/>
          <a:ext cx="2037780" cy="95754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1133475</xdr:colOff>
          <xdr:row>50</xdr:row>
          <xdr:rowOff>57150</xdr:rowOff>
        </xdr:from>
        <xdr:to>
          <xdr:col>4</xdr:col>
          <xdr:colOff>400050</xdr:colOff>
          <xdr:row>50</xdr:row>
          <xdr:rowOff>228600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44824</xdr:colOff>
      <xdr:row>0</xdr:row>
      <xdr:rowOff>78441</xdr:rowOff>
    </xdr:from>
    <xdr:to>
      <xdr:col>1</xdr:col>
      <xdr:colOff>1040048</xdr:colOff>
      <xdr:row>0</xdr:row>
      <xdr:rowOff>870368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908F8C6-43E1-F9D2-33D6-17EC0F9E3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78441"/>
          <a:ext cx="995224" cy="791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view="pageBreakPreview" topLeftCell="A15" zoomScale="85" zoomScaleNormal="85" zoomScaleSheetLayoutView="85" workbookViewId="0">
      <selection activeCell="F7" sqref="F7"/>
    </sheetView>
  </sheetViews>
  <sheetFormatPr defaultColWidth="9" defaultRowHeight="14.25"/>
  <cols>
    <col min="1" max="1" width="5" style="1" bestFit="1" customWidth="1"/>
    <col min="2" max="2" width="29.42578125" style="2" customWidth="1"/>
    <col min="3" max="3" width="18.7109375" style="2" customWidth="1"/>
    <col min="4" max="4" width="19.28515625" style="2" customWidth="1"/>
    <col min="5" max="5" width="13.7109375" style="2" customWidth="1"/>
    <col min="6" max="6" width="21.85546875" style="2" customWidth="1"/>
    <col min="7" max="7" width="13.7109375" style="2" customWidth="1"/>
    <col min="8" max="16384" width="9" style="2"/>
  </cols>
  <sheetData>
    <row r="1" spans="1:7" ht="72" customHeight="1" thickBot="1">
      <c r="A1" s="78" t="str">
        <f>IF(G2="Polski","Arkusz doborowy systemu magazynowania energii",IF(G2="English","Energy Storage System Technical Requirements Checklist",IF(G2="Deutsch","Energiespeichersysteme - Spezialprojekte - Fragebogen","储能系统技术需求表")))</f>
        <v>Arkusz doborowy systemu magazynowania energii</v>
      </c>
      <c r="B1" s="79"/>
      <c r="C1" s="79"/>
      <c r="D1" s="79"/>
      <c r="E1" s="79"/>
      <c r="F1" s="79"/>
      <c r="G1" s="80"/>
    </row>
    <row r="2" spans="1:7" ht="21.75" customHeight="1">
      <c r="A2" s="3" t="s">
        <v>0</v>
      </c>
      <c r="B2" s="4" t="str">
        <f>IF(G2="Polski","Data",IF(G2="English","Date",IF(G2="Deutsch","Datum","填表日期")))</f>
        <v>Data</v>
      </c>
      <c r="C2" s="5"/>
      <c r="D2" s="4" t="str">
        <f>IF(G2="Polski","Sprzedawca",IF(G2="English","Sales",IF(G2="Deutsch","Vertrieb","销售")))</f>
        <v>Sprzedawca</v>
      </c>
      <c r="E2" s="6"/>
      <c r="F2" s="7" t="str">
        <f>IF(G2="Polski","Język",IF(G2="English","Laguage",IF(G2="Deutsch","Sprache","语言")))</f>
        <v>Język</v>
      </c>
      <c r="G2" s="65" t="s">
        <v>24</v>
      </c>
    </row>
    <row r="3" spans="1:7" ht="9.75" customHeight="1" thickBot="1">
      <c r="A3" s="8"/>
      <c r="B3" s="9"/>
      <c r="C3" s="9"/>
      <c r="D3" s="9"/>
      <c r="E3" s="9"/>
      <c r="F3" s="9"/>
      <c r="G3" s="10" t="b">
        <f>IF(G2="中文",TRUE,FALSE)</f>
        <v>0</v>
      </c>
    </row>
    <row r="4" spans="1:7" ht="25.5" customHeight="1">
      <c r="A4" s="81" t="str">
        <f>IF(G2="Polski","Podstawowe informacje",IF(G2="English","Basic Information",IF(G2="Deutsch","Allgemeine Informationen","客户基本信息")))</f>
        <v>Podstawowe informacje</v>
      </c>
      <c r="B4" s="82"/>
      <c r="C4" s="82"/>
      <c r="D4" s="82"/>
      <c r="E4" s="82"/>
      <c r="F4" s="82"/>
      <c r="G4" s="83"/>
    </row>
    <row r="5" spans="1:7" ht="22.5" customHeight="1">
      <c r="A5" s="11">
        <v>1</v>
      </c>
      <c r="B5" s="12" t="str">
        <f>IF(G2="Polski","Nazwa firmy",IF(G2="English","Company Name",IF(G2="Deutsch","Firmenname","公司（客户)名称")))</f>
        <v>Nazwa firmy</v>
      </c>
      <c r="C5" s="84"/>
      <c r="D5" s="84"/>
      <c r="E5" s="84"/>
      <c r="F5" s="84"/>
      <c r="G5" s="13"/>
    </row>
    <row r="6" spans="1:7" ht="14.25" customHeight="1">
      <c r="A6" s="11"/>
      <c r="B6" s="12"/>
      <c r="C6" s="14"/>
      <c r="D6" s="14"/>
      <c r="E6" s="14"/>
      <c r="F6" s="14"/>
      <c r="G6" s="15"/>
    </row>
    <row r="7" spans="1:7" ht="22.5" customHeight="1">
      <c r="A7" s="11">
        <v>2</v>
      </c>
      <c r="B7" s="12" t="str">
        <f>IF(G2="Polski","Główne zadania magazynu energii",IF(G2="English","System Application Scenarios",IF(G2="Deutsch","Systemanwendung","系统使用场景")))</f>
        <v>Główne zadania magazynu energii</v>
      </c>
      <c r="C7" s="14"/>
      <c r="D7" s="14"/>
      <c r="E7" s="14"/>
      <c r="F7" s="14"/>
      <c r="G7" s="15"/>
    </row>
    <row r="8" spans="1:7" ht="22.5" customHeight="1">
      <c r="A8" s="16"/>
      <c r="B8" s="14" t="str">
        <f>IF(G2="Polski","Autokonsumpcja",IF(G2="English","Self-consumption",IF(G2="Deutsch","Eigenverbrauch","自发自用")))</f>
        <v>Autokonsumpcja</v>
      </c>
      <c r="C8" s="14" t="str">
        <f>IF(G2="Polski","Przeniesienie obciążeń szczytowych",IF(G2="English","Load Shifting",IF(G2="Deutsch","Lastverschiebung","峰谷套利")))</f>
        <v>Przeniesienie obciążeń szczytowych</v>
      </c>
      <c r="D8" s="19"/>
      <c r="E8" s="14" t="str">
        <f>IF(G2="Polski","Redukcja obciążeń szczytowych.",IF(G2="English","Peak Shaving and Valley Filling",IF(G2="Deutsch","Spitzenlastkappung und Grundlaststabilisierung","削峰填谷")))</f>
        <v>Redukcja obciążeń szczytowych.</v>
      </c>
      <c r="F8" s="14"/>
      <c r="G8" s="15"/>
    </row>
    <row r="9" spans="1:7" ht="22.5" customHeight="1">
      <c r="A9" s="16"/>
      <c r="B9" s="14" t="str">
        <f>IF(G2="Polski","Zasilanie awaryjne",IF(G2="English","UPS/Back up",IF(G2="Deutsch","USV/Backup","UPS/后备电源")))</f>
        <v>Zasilanie awaryjne</v>
      </c>
      <c r="C9" s="14" t="str">
        <f>IF(G2="Polski","Regulacja napięcia i częstotliwości",IF(G2="English","Voltage and Frequency Regulation",IF(G2="Deutsch","Spannungs- und Frequenzregelung","调频调压")))</f>
        <v>Regulacja napięcia i częstotliwości</v>
      </c>
      <c r="D9" s="14"/>
      <c r="E9" s="14" t="str">
        <f>IF(G2="Polski","Mikrosieć",IF(G2="English","Mirco-grid",IF(G2="Deutsch","Mikro-Netz","微网应用")))</f>
        <v>Mikrosieć</v>
      </c>
      <c r="F9" s="14"/>
      <c r="G9" s="15"/>
    </row>
    <row r="10" spans="1:7" ht="22.5" customHeight="1">
      <c r="A10" s="16"/>
      <c r="B10" s="14" t="str">
        <f>IF(G2="Polski","Inne:",IF(G2="English","Other, please explain:",IF(G2="Deutsch","Andere:","其他，请说明:")))</f>
        <v>Inne:</v>
      </c>
      <c r="C10" s="74"/>
      <c r="D10" s="74"/>
      <c r="E10" s="74"/>
      <c r="F10" s="74"/>
      <c r="G10" s="15"/>
    </row>
    <row r="11" spans="1:7" ht="14.25" customHeight="1">
      <c r="A11" s="16"/>
      <c r="B11" s="14"/>
      <c r="C11" s="14"/>
      <c r="D11" s="14"/>
      <c r="E11" s="19"/>
      <c r="F11" s="14"/>
      <c r="G11" s="15"/>
    </row>
    <row r="12" spans="1:7" ht="22.5" customHeight="1">
      <c r="A12" s="11">
        <v>3</v>
      </c>
      <c r="B12" s="12" t="str">
        <f>IF(G2="Polski","Typ baterii",IF(G2="English","Battery Type",IF(G2="Deutsch","Batterie-Typ","电池类型")))</f>
        <v>Typ baterii</v>
      </c>
      <c r="C12" s="14" t="str">
        <f>IF(G2="Polski","LiFeO4",IF(G2="English","LiFeO4",IF(G2="Deutsch","LiFePO4","磷酸铁锂")))</f>
        <v>LiFeO4</v>
      </c>
      <c r="D12" s="14" t="str">
        <f>IF(G2="Polski","Inne:",IF(G2="English","Other, please explain:",IF(G2="Deutsch","Andere:","其他，请说明：")))</f>
        <v>Inne:</v>
      </c>
      <c r="E12" s="17"/>
      <c r="F12" s="20"/>
      <c r="G12" s="15"/>
    </row>
    <row r="13" spans="1:7" ht="15" customHeight="1">
      <c r="A13" s="11"/>
      <c r="B13" s="12"/>
      <c r="C13" s="14"/>
      <c r="D13" s="14"/>
      <c r="E13" s="14"/>
      <c r="F13" s="14"/>
      <c r="G13" s="15"/>
    </row>
    <row r="14" spans="1:7" ht="22.5" customHeight="1">
      <c r="A14" s="11">
        <v>4</v>
      </c>
      <c r="B14" s="12" t="str">
        <f>IF(G2="Polski","Adres montażu",IF(G2="English","Product Installation Area",IF(G2="Deutsch","Installationsort","安装地点")))</f>
        <v>Adres montażu</v>
      </c>
      <c r="C14" s="14"/>
      <c r="D14" s="14"/>
      <c r="E14" s="12"/>
      <c r="F14" s="14"/>
      <c r="G14" s="15"/>
    </row>
    <row r="15" spans="1:7" ht="22.5" customHeight="1">
      <c r="A15" s="11"/>
      <c r="B15" s="21" t="str">
        <f>IF(G2="Polski","Kraj",IF(G2="English","Country",IF(G2="Deutsch","Land","国家")))</f>
        <v>Kraj</v>
      </c>
      <c r="C15" s="18" t="s">
        <v>1</v>
      </c>
      <c r="D15" s="21" t="str">
        <f>IF(G2="Polski","Miasto",IF(G2="English","City",IF(G2="Deutsch","PLZ/Stadt","城市")))</f>
        <v>Miasto</v>
      </c>
      <c r="E15" s="22"/>
      <c r="F15" s="14"/>
      <c r="G15" s="15"/>
    </row>
    <row r="16" spans="1:7" ht="14.25" customHeight="1">
      <c r="A16" s="11"/>
      <c r="B16" s="12"/>
      <c r="C16" s="14"/>
      <c r="D16" s="12"/>
      <c r="E16" s="12"/>
      <c r="F16" s="14"/>
      <c r="G16" s="15"/>
    </row>
    <row r="17" spans="1:7" ht="22.5" customHeight="1">
      <c r="A17" s="11">
        <v>5</v>
      </c>
      <c r="B17" s="12" t="str">
        <f>IF(G2="Polski","Profil biznesowy firmy",IF(G2="English","Expected Business Operation Mode",IF(G2="Deutsch","Geplanter Geschäftsbetrieb","期望商业运行模式")))</f>
        <v>Profil biznesowy firmy</v>
      </c>
      <c r="C17" s="14"/>
      <c r="D17" s="14"/>
      <c r="E17" s="14"/>
      <c r="F17" s="14"/>
      <c r="G17" s="15"/>
    </row>
    <row r="18" spans="1:7" ht="22.5" customHeight="1">
      <c r="A18" s="16"/>
      <c r="B18" s="14" t="str">
        <f>IF(G2="Polski","Sektor handlowy",IF(G2="English","Customized sales",IF(G2="Deutsch","Spez.Verkauf","定制化销售")))</f>
        <v>Sektor handlowy</v>
      </c>
      <c r="C18" s="14" t="str">
        <f>IF(G2="Polski","Sprzedaż energii elektrycznej",IF(G2="English","Power Purchase Agreement",IF(G2="Deutsch","Stromabnahmevertrag","购电协议")))</f>
        <v>Sprzedaż energii elektrycznej</v>
      </c>
      <c r="D18" s="17"/>
      <c r="E18" s="14" t="str">
        <f>IF(G2="Polski","Sektor finansowy",IF(G2="English","Financial Leasing",IF(G2="Deutsch","Finanzierungsleasing","融资租赁")))</f>
        <v>Sektor finansowy</v>
      </c>
      <c r="F18" s="14"/>
      <c r="G18" s="15"/>
    </row>
    <row r="19" spans="1:7" ht="22.5" customHeight="1">
      <c r="A19" s="16"/>
      <c r="B19" s="14" t="str">
        <f>IF(G2="Polski","Produkcja, R&amp;D",IF(G2="English","EPC",IF(G2="Deutsch","EPC","EPC总承包")))</f>
        <v>Produkcja, R&amp;D</v>
      </c>
      <c r="C19" s="14" t="str">
        <f>IF(G2="Polski","Inne:",IF(G2="English","Other, please explain:",IF(G2="Deutsch","Andere:","其他，请说明：")))</f>
        <v>Inne:</v>
      </c>
      <c r="D19" s="17"/>
      <c r="E19" s="20"/>
      <c r="F19" s="14"/>
      <c r="G19" s="15"/>
    </row>
    <row r="20" spans="1:7" ht="14.25" customHeight="1">
      <c r="A20" s="16"/>
      <c r="B20" s="14"/>
      <c r="C20" s="14"/>
      <c r="D20" s="14"/>
      <c r="E20" s="14"/>
      <c r="F20" s="14"/>
      <c r="G20" s="15"/>
    </row>
    <row r="21" spans="1:7" ht="22.5" customHeight="1">
      <c r="A21" s="11">
        <v>6</v>
      </c>
      <c r="B21" s="12" t="str">
        <f>IF(G2="Polski","Sytuacja w zakresie dotacji samorządowych",IF(G2="English","Local Government Subsidy Situation",IF(G2="Deutsch","Subventionen der lokalen Regierung","当地政府补贴情况")))</f>
        <v>Sytuacja w zakresie dotacji samorządowych</v>
      </c>
      <c r="C21" s="14"/>
      <c r="D21" s="14"/>
      <c r="E21" s="14"/>
      <c r="F21" s="14"/>
      <c r="G21" s="15"/>
    </row>
    <row r="22" spans="1:7" ht="22.5" customHeight="1">
      <c r="A22" s="16"/>
      <c r="B22" s="23" t="str">
        <f>IF(G2="Polski","Taryfa gwarantowana",IF(G2="English","Feed-in Tarrif",IF(G2="Deutsch","Einspeisevergütung","并网补贴")))</f>
        <v>Taryfa gwarantowana</v>
      </c>
      <c r="C22" s="14" t="str">
        <f>IF(G2="Polski","Jednorazowa dotacja państwowa",IF(G2="English","Energy Storage Subsidy",IF(G2="Deutsch","Zuschuss für Energiespeicherung","储能补贴")))</f>
        <v>Jednorazowa dotacja państwowa</v>
      </c>
      <c r="D22" s="14"/>
      <c r="E22" s="14"/>
      <c r="F22" s="14"/>
      <c r="G22" s="15"/>
    </row>
    <row r="23" spans="1:7" ht="22.5" customHeight="1">
      <c r="A23" s="16"/>
      <c r="B23" s="14" t="str">
        <f>IF(G2="Polski","Inne:",IF(G2="English","Other, please explain:",IF(G2="Deutsch","Andere:","其他，请说明：")))</f>
        <v>Inne:</v>
      </c>
      <c r="C23" s="74"/>
      <c r="D23" s="74"/>
      <c r="E23" s="74"/>
      <c r="F23" s="74"/>
      <c r="G23" s="15"/>
    </row>
    <row r="24" spans="1:7" ht="14.25" customHeight="1">
      <c r="A24" s="16"/>
      <c r="B24" s="14"/>
      <c r="C24" s="14"/>
      <c r="D24" s="14"/>
      <c r="E24" s="14"/>
      <c r="F24" s="14"/>
      <c r="G24" s="15"/>
    </row>
    <row r="25" spans="1:7" ht="22.5" customHeight="1">
      <c r="A25" s="11">
        <v>7</v>
      </c>
      <c r="B25" s="12" t="str">
        <f>IF(G2="Polski","Planowany budżet na projekt",IF(G2="English","Project Budget",IF(G2="Deutsch","Projektbudget","项目预算")))</f>
        <v>Planowany budżet na projekt</v>
      </c>
      <c r="C25" s="20"/>
      <c r="D25" s="14"/>
      <c r="E25" s="14"/>
      <c r="F25" s="14"/>
      <c r="G25" s="15"/>
    </row>
    <row r="26" spans="1:7" ht="22.5" customHeight="1">
      <c r="A26" s="24"/>
      <c r="B26" s="25"/>
      <c r="C26" s="26"/>
      <c r="D26" s="26"/>
      <c r="E26" s="26"/>
      <c r="F26" s="26"/>
      <c r="G26" s="27"/>
    </row>
    <row r="27" spans="1:7" ht="27.75" customHeight="1">
      <c r="A27" s="71" t="str">
        <f>IF(G2="Polski","Przewidywane warunki pracy magazynu energii",IF(G2="English","Product Operating Environment",IF(G2="Deutsch","Betriebsumgebung Speichersystem","产品工作环境")))</f>
        <v>Przewidywane warunki pracy magazynu energii</v>
      </c>
      <c r="B27" s="72"/>
      <c r="C27" s="72"/>
      <c r="D27" s="72"/>
      <c r="E27" s="72"/>
      <c r="F27" s="72"/>
      <c r="G27" s="73"/>
    </row>
    <row r="28" spans="1:7" ht="22.5" customHeight="1">
      <c r="A28" s="28">
        <v>1</v>
      </c>
      <c r="B28" s="29" t="str">
        <f>IF(G2="Polski","Miejsce montażu",IF(G2="English","ESS Installation Location",IF(G2="Deutsch","Installationsort Speichersystem","储能电站安装环境")))</f>
        <v>Miejsce montażu</v>
      </c>
      <c r="C28" s="17"/>
      <c r="D28" s="66" t="s">
        <v>21</v>
      </c>
      <c r="E28" s="30"/>
      <c r="F28" s="31"/>
      <c r="G28" s="32" t="b">
        <f>IF(E28="室内",TRUE,FALSE)</f>
        <v>0</v>
      </c>
    </row>
    <row r="29" spans="1:7" ht="22.5" customHeight="1">
      <c r="A29" s="16"/>
      <c r="B29" s="14"/>
      <c r="C29" s="14" t="str">
        <f>IF(G2="Polski","Dostępna przestrzeń (D x S, m)",IF(G2="English","Space Size (L x W, m):",IF(G2="Deutsch","Fläche (L x B in m)","占地尺寸（长 x 宽，米）")))</f>
        <v>Dostępna przestrzeń (D x S, m)</v>
      </c>
      <c r="D29" s="14"/>
      <c r="E29" s="20" t="s">
        <v>2</v>
      </c>
      <c r="F29" s="14"/>
      <c r="G29" s="15"/>
    </row>
    <row r="30" spans="1:7" ht="22.5" customHeight="1">
      <c r="A30" s="16"/>
      <c r="B30" s="14"/>
      <c r="C30" s="14" t="str">
        <f>IF(G2="Polski","Dostępna wysokość (W, m)",IF(G2="English","Height Size ( H, m):",IF(G2="Deutsch","Höhe (H in m)","高度尺寸（高，米）")))</f>
        <v>Dostępna wysokość (W, m)</v>
      </c>
      <c r="D30" s="14"/>
      <c r="E30" s="20" t="s">
        <v>2</v>
      </c>
      <c r="F30" s="14"/>
      <c r="G30" s="15"/>
    </row>
    <row r="31" spans="1:7" ht="14.25" customHeight="1">
      <c r="A31" s="16"/>
      <c r="B31" s="14"/>
      <c r="C31" s="14"/>
      <c r="D31" s="14"/>
      <c r="E31" s="14"/>
      <c r="F31" s="14"/>
      <c r="G31" s="15"/>
    </row>
    <row r="32" spans="1:7" ht="22.5" customHeight="1">
      <c r="A32" s="11">
        <v>2</v>
      </c>
      <c r="B32" s="12" t="str">
        <f>IF(G2="Polski","Warunki środowiskowe",IF(G2="English","ESS Installation Location",IF(G2="Deutsch","Aufstell-/Installationsort Speichersystem","系统外部工作环境")))</f>
        <v>Warunki środowiskowe</v>
      </c>
      <c r="C32" s="14"/>
      <c r="D32" s="14"/>
      <c r="E32" s="14"/>
      <c r="F32" s="14"/>
      <c r="G32" s="15"/>
    </row>
    <row r="33" spans="1:7" ht="22.5" customHeight="1">
      <c r="A33" s="11"/>
      <c r="B33" s="33" t="str">
        <f>IF(G2="Polski","temperatura (℃)",IF(G2="English","Temperature (℃)",IF(G2="Deutsch","Temperatur (°C)","温度（℃）")))</f>
        <v>temperatura (℃)</v>
      </c>
      <c r="C33" s="34"/>
      <c r="D33" s="33" t="str">
        <f>IF(G2="Polski","wilgotność",IF(G2="English","Humility",IF(G2="Deutsch","Luftfeuchtigkeit","湿度")))</f>
        <v>wilgotność</v>
      </c>
      <c r="E33" s="20"/>
      <c r="F33" s="14"/>
      <c r="G33" s="15"/>
    </row>
    <row r="34" spans="1:7" ht="14.25" customHeight="1">
      <c r="A34" s="11"/>
      <c r="B34" s="21"/>
      <c r="C34" s="17"/>
      <c r="D34" s="21"/>
      <c r="E34" s="14"/>
      <c r="F34" s="14"/>
      <c r="G34" s="15"/>
    </row>
    <row r="35" spans="1:7" ht="22.5" customHeight="1">
      <c r="A35" s="11">
        <v>3</v>
      </c>
      <c r="B35" s="9" t="str">
        <f>IF(G2="Polski","Inne wymogi środowiskowe",IF(G2="English","Other Protection Requirements",IF(G2="Deutsch","Andere Schutzanforderungen","其他防护要求")))</f>
        <v>Inne wymogi środowiskowe</v>
      </c>
      <c r="C35" s="14"/>
      <c r="D35" s="14"/>
      <c r="E35" s="14"/>
      <c r="F35" s="14"/>
      <c r="G35" s="15"/>
    </row>
    <row r="36" spans="1:7" ht="22.5" customHeight="1">
      <c r="A36" s="16"/>
      <c r="B36" s="14" t="str">
        <f>IF(G2="Polski","Wysokie zasolenie",IF(G2="English","Salt Mist",IF(G2="Deutsch","Salznebel","盐雾")))</f>
        <v>Wysokie zasolenie</v>
      </c>
      <c r="C36" s="14" t="str">
        <f>IF(G2="Polski","Środowisko silnie korozyjne",IF(G2="English","Vulcanization Corrosion",IF(G2="Deutsch","Vulkanisationskorrosion","硫化腐蚀")))</f>
        <v>Środowisko silnie korozyjne</v>
      </c>
      <c r="D36" s="17"/>
      <c r="E36" s="14" t="str">
        <f>IF(G2="Polski","Znaczna wysokość n.p.m.",IF(G2="English","High Altitude",IF(G2="Deutsch","Höhenlage","高海拔")))</f>
        <v>Znaczna wysokość n.p.m.</v>
      </c>
      <c r="F36" s="14"/>
      <c r="G36" s="15"/>
    </row>
    <row r="37" spans="1:7" ht="22.5" customHeight="1">
      <c r="A37" s="16"/>
      <c r="B37" s="23" t="str">
        <f>IF(G2="Polski","Zakłócenia elektromagnetyczne",IF(G2="English","Electromagnetic Interference",IF(G2="Deutsch","Elektromagnetische Interferenz","电磁干扰")))</f>
        <v>Zakłócenia elektromagnetyczne</v>
      </c>
      <c r="C37" s="17"/>
      <c r="D37" s="14" t="str">
        <f>IF(G2="Polski","Inne:",IF(G2="English","Other, please explain:",IF(G2="Deutsch","Andere:","其他，请说明：")))</f>
        <v>Inne:</v>
      </c>
      <c r="E37" s="17"/>
      <c r="F37" s="20"/>
      <c r="G37" s="15"/>
    </row>
    <row r="38" spans="1:7" ht="14.25" customHeight="1">
      <c r="A38" s="35"/>
      <c r="B38" s="19"/>
      <c r="C38" s="36" t="b">
        <f>IF(C39="Yes",TRUE,FALSE)</f>
        <v>1</v>
      </c>
      <c r="D38" s="14"/>
      <c r="E38" s="14"/>
      <c r="F38" s="14"/>
      <c r="G38" s="15"/>
    </row>
    <row r="39" spans="1:7" ht="40.9" customHeight="1">
      <c r="A39" s="11">
        <v>4</v>
      </c>
      <c r="B39" s="37" t="str">
        <f>IF(G2="Polski","Czy obiekt jest przyłączony do sieci energetycznej?",IF(G2="English","Is it connected to utility grid?",IF(G2="Deutsch","Anschluss an das öffentliche Stromnetz geplant?","是否接入电网")))</f>
        <v>Czy obiekt jest przyłączony do sieci energetycznej?</v>
      </c>
      <c r="C39" s="38" t="s">
        <v>3</v>
      </c>
      <c r="D39" s="37" t="str">
        <f>IF(G2="Polski","Maks. prąd pobierany z sieci energetycznej [A]",IF(G2="English","Grid current in house (A)",IF(G2="Deutsch","Netzstrom im Haus (A)","电网入户电流(A)")))</f>
        <v>Maks. prąd pobierany z sieci energetycznej [A]</v>
      </c>
      <c r="E39" s="38"/>
      <c r="F39" s="37" t="str">
        <f>IF(G2="Polski","Pole przekroju gł. kabla zasilającego [mm2]",IF(G2="English","Size of copper bar/ wires in house",IF(G2="Deutsch","Kabelquerschnitt der Kupferleitung im Haus","入户铜排/电缆尺寸")))</f>
        <v>Pole przekroju gł. kabla zasilającego [mm2]</v>
      </c>
      <c r="G39" s="38"/>
    </row>
    <row r="40" spans="1:7" ht="20.25" customHeight="1">
      <c r="A40" s="67" t="s">
        <v>22</v>
      </c>
      <c r="B40" s="12" t="str">
        <f>IF(G2="English","Required Certificat",IF(G2="Deutsch","Erforderliches Zertifikat","Wymagana certyfikacja"))</f>
        <v>Wymagana certyfikacja</v>
      </c>
      <c r="C40" s="39" t="s">
        <v>3</v>
      </c>
      <c r="D40" s="40"/>
      <c r="E40" s="14"/>
      <c r="F40" s="14"/>
      <c r="G40" s="15"/>
    </row>
    <row r="41" spans="1:7" ht="22.5" customHeight="1">
      <c r="A41" s="67" t="s">
        <v>23</v>
      </c>
      <c r="B41" s="12" t="str">
        <f>IF(G2="English","Is Grid-regulation certificate required?",IF(G2="Deutsch","Ist ein Netzregulierungszertifikat erforderlich?","Czy potrzebujesz certyfikatu podłączonego do sieci?"))</f>
        <v>Czy potrzebujesz certyfikatu podłączonego do sieci?</v>
      </c>
      <c r="C41" s="14"/>
      <c r="D41" s="14"/>
      <c r="E41" s="41" t="s">
        <v>3</v>
      </c>
      <c r="F41" s="42" t="b">
        <f>IF(E41="Yes",TRUE,FALSE)</f>
        <v>1</v>
      </c>
      <c r="G41" s="15"/>
    </row>
    <row r="42" spans="1:7" ht="22.5" customHeight="1">
      <c r="A42" s="16"/>
      <c r="B42" s="14" t="str">
        <f>IF(G2="English","Grid-regulation Certificate:",IF(G2="Deutsch","Netzregulierungszertifikat:","Certyfikacja sieciowa:"))</f>
        <v>Certyfikacja sieciowa:</v>
      </c>
      <c r="C42" s="18"/>
      <c r="D42" s="43"/>
      <c r="E42" s="44"/>
      <c r="F42" s="14"/>
      <c r="G42" s="15"/>
    </row>
    <row r="43" spans="1:7" ht="14.25" customHeight="1">
      <c r="A43" s="16"/>
      <c r="B43" s="14"/>
      <c r="C43" s="14"/>
      <c r="D43" s="14"/>
      <c r="E43" s="14"/>
      <c r="F43" s="14"/>
      <c r="G43" s="15"/>
    </row>
    <row r="44" spans="1:7" ht="22.5" customHeight="1">
      <c r="A44" s="11">
        <v>6</v>
      </c>
      <c r="B44" s="12" t="str">
        <f>IF(G2="Polski","Parametry sieci energetycznej",IF(G2="English","Grid/Load Features",IF(G2="Deutsch","Netz-/Lasteigenschaften","电网/负载规格")))</f>
        <v>Parametry sieci energetycznej</v>
      </c>
      <c r="C44" s="14"/>
      <c r="D44" s="14"/>
      <c r="E44" s="14"/>
      <c r="F44" s="14"/>
      <c r="G44" s="15"/>
    </row>
    <row r="45" spans="1:7" ht="22.5" customHeight="1">
      <c r="A45" s="16"/>
      <c r="B45" s="38" t="s">
        <v>4</v>
      </c>
      <c r="C45" s="45"/>
      <c r="D45" s="38" t="s">
        <v>5</v>
      </c>
      <c r="E45" s="33"/>
      <c r="F45" s="38" t="s">
        <v>6</v>
      </c>
      <c r="G45" s="15"/>
    </row>
    <row r="46" spans="1:7" ht="22.5" customHeight="1">
      <c r="A46" s="16"/>
      <c r="B46" s="43" t="str">
        <f>IF(G2="Polski","Inne:",IF(G2="English","Other, please explain:",IF(G2="Deutsch","Andere:","其他，请说明：")))</f>
        <v>Inne:</v>
      </c>
      <c r="C46" s="46" t="s">
        <v>7</v>
      </c>
      <c r="D46" s="14"/>
      <c r="E46" s="14"/>
      <c r="F46" s="14"/>
      <c r="G46" s="15"/>
    </row>
    <row r="47" spans="1:7" ht="14.25" customHeight="1">
      <c r="A47" s="16"/>
      <c r="B47" s="14"/>
      <c r="C47" s="14"/>
      <c r="D47" s="14"/>
      <c r="E47" s="14"/>
      <c r="F47" s="14"/>
      <c r="G47" s="15"/>
    </row>
    <row r="48" spans="1:7" ht="20.25" customHeight="1">
      <c r="A48" s="11">
        <v>7</v>
      </c>
      <c r="B48" s="12" t="str">
        <f>IF(G2="Polski","Profil zużycia energii elektrycznej",IF(G2="English","Loads Scope",IF(G2="Deutsch","Lastbereich","负载规模")))</f>
        <v>Profil zużycia energii elektrycznej</v>
      </c>
      <c r="C48" s="14"/>
      <c r="D48" s="14"/>
      <c r="E48" s="14"/>
      <c r="F48" s="14"/>
      <c r="G48" s="15"/>
    </row>
    <row r="49" spans="1:7" ht="21" customHeight="1">
      <c r="A49" s="16"/>
      <c r="B49" s="12" t="str">
        <f>IF(G2="Polski","Średnie zapotrzebowanie na moc (kW)",IF(G2="English","Load Average Power (kW)",IF(G2="Deutsch","Last - durchschnittliche Leistung (kW)","负载平均功率（kW）")))</f>
        <v>Średnie zapotrzebowanie na moc (kW)</v>
      </c>
      <c r="C49" s="14"/>
      <c r="D49" s="20"/>
      <c r="E49" s="14"/>
      <c r="F49" s="14"/>
      <c r="G49" s="15"/>
    </row>
    <row r="50" spans="1:7" ht="21" customHeight="1">
      <c r="A50" s="16"/>
      <c r="B50" s="12" t="str">
        <f>IF(G2="Polski","Maksymalne zapotrzebowanie na moc (kW)",IF(G2="English","Load Peak Power (kW)",IF(G2="Deutsch","Last - Spitzenleistung (kW)","负载峰值功率（kW）")))</f>
        <v>Maksymalne zapotrzebowanie na moc (kW)</v>
      </c>
      <c r="C50" s="14"/>
      <c r="D50" s="20"/>
      <c r="E50" s="14"/>
      <c r="F50" s="14"/>
      <c r="G50" s="15"/>
    </row>
    <row r="51" spans="1:7" ht="21" customHeight="1">
      <c r="A51" s="16"/>
      <c r="B51" s="12" t="str">
        <f>IF(G2="English","Load Type",IF(G2="Deutsch","Last-Typ","Tyb obciążenia"))</f>
        <v>Tyb obciążenia</v>
      </c>
      <c r="C51" s="14" t="str">
        <f>IF(G2="English","Resistive Load",IF(G2="Deutsch","Ohmsche Last","Obciążenie rezystancyjne"))</f>
        <v>Obciążenie rezystancyjne</v>
      </c>
      <c r="D51" s="14"/>
      <c r="E51" s="14" t="str">
        <f>IF(H2="English","Inductive Load",IF(H2="Deutsch","Induktive Last","Obciążenie indukcyjne"))</f>
        <v>Obciążenie indukcyjne</v>
      </c>
      <c r="F51" s="14"/>
      <c r="G51" s="15"/>
    </row>
    <row r="52" spans="1:7" ht="15" customHeight="1">
      <c r="A52" s="16"/>
      <c r="B52" s="14"/>
      <c r="C52" s="14"/>
      <c r="D52" s="14"/>
      <c r="E52" s="14"/>
      <c r="F52" s="14"/>
      <c r="G52" s="15"/>
    </row>
    <row r="53" spans="1:7" ht="22.5" customHeight="1">
      <c r="A53" s="11">
        <v>8</v>
      </c>
      <c r="B53" s="12" t="str">
        <f>IF(G2="Polski","Możliwość oddawania energii do sieli elektrycznej",IF(G2="English","Can power feed into the grid?",IF(G2="Deutsch","Strom ins Netz einspeisbar?","是否可以并网馈电？")))</f>
        <v>Możliwość oddawania energii do sieli elektrycznej</v>
      </c>
      <c r="C53" s="17"/>
      <c r="E53" s="38" t="s">
        <v>3</v>
      </c>
      <c r="F53" s="14"/>
      <c r="G53" s="15"/>
    </row>
    <row r="54" spans="1:7" ht="14.25" customHeight="1">
      <c r="A54" s="16"/>
      <c r="B54" s="14"/>
      <c r="C54" s="14"/>
      <c r="D54" s="14"/>
      <c r="E54" s="14"/>
      <c r="F54" s="14"/>
      <c r="G54" s="15"/>
    </row>
    <row r="55" spans="1:7" ht="22.5" customHeight="1">
      <c r="A55" s="11">
        <v>9</v>
      </c>
      <c r="B55" s="12" t="str">
        <f>IF(G2="Polski","Czy jest inne przyłącze energetyczne?",IF(G2="English","Other energy connection?",IF(G2="Deutsch","Andere Energieanschlüsse","是否有其他能源接入？")))</f>
        <v>Czy jest inne przyłącze energetyczne?</v>
      </c>
      <c r="C55" s="14"/>
      <c r="E55" s="38" t="s">
        <v>3</v>
      </c>
      <c r="F55" s="42" t="b">
        <f>IF(E55="Yes",TRUE,FALSE)</f>
        <v>1</v>
      </c>
      <c r="G55" s="15"/>
    </row>
    <row r="56" spans="1:7" ht="14.25" customHeight="1">
      <c r="A56" s="16"/>
      <c r="B56" s="14"/>
      <c r="C56" s="14"/>
      <c r="D56" s="14"/>
      <c r="E56" s="14"/>
      <c r="F56" s="14"/>
      <c r="G56" s="15"/>
    </row>
    <row r="57" spans="1:7" ht="22.5" customHeight="1">
      <c r="A57" s="11">
        <v>10</v>
      </c>
      <c r="B57" s="12" t="str">
        <f>IF(G2="Polski","Inne źródła energii elektrycznej",IF(G2="English","Other Energy Source Type",IF(G2="Deutsch","Art der anderen Energiequelle","其他能源接入类型")))</f>
        <v>Inne źródła energii elektrycznej</v>
      </c>
      <c r="C57" s="14"/>
      <c r="D57" s="14"/>
      <c r="E57" s="14"/>
      <c r="F57" s="14"/>
      <c r="G57" s="15"/>
    </row>
    <row r="58" spans="1:7" ht="22.5" customHeight="1">
      <c r="A58" s="16"/>
      <c r="B58" s="33" t="str">
        <f>IF(G2="Polski","Elektrownia słoneczna",IF(G2="English","PV",IF(G2="Deutsch","PV","光伏")))</f>
        <v>Elektrownia słoneczna</v>
      </c>
      <c r="C58" s="38" t="s">
        <v>3</v>
      </c>
      <c r="D58" s="47" t="str">
        <f>IF(G2="Polski","Moc (kWp)",IF(G2="English","Capacity (kWp)",IF(G2="Deutsch","Kapazität (kWp)","装机容量（kWp）")))</f>
        <v>Moc (kWp)</v>
      </c>
      <c r="E58" s="20">
        <v>540</v>
      </c>
      <c r="F58" s="42" t="b">
        <f>IF(C58="Yes",TRUE,FALSE)</f>
        <v>1</v>
      </c>
      <c r="G58" s="48" t="b">
        <f>IF(C58="Yes",TRUE,FALSE)</f>
        <v>1</v>
      </c>
    </row>
    <row r="59" spans="1:7" ht="22.5" customHeight="1">
      <c r="A59" s="16"/>
      <c r="B59" s="33" t="str">
        <f>IF(G2="Polski","Elektrownia wiatrowa",IF(G2="English","Wind",IF(G2="Deutsch","Windkraft","风电")))</f>
        <v>Elektrownia wiatrowa</v>
      </c>
      <c r="C59" s="38"/>
      <c r="D59" s="14" t="str">
        <f>IF(G2="Polski","Moc (kW)",IF(G2="English","Capacity (kW)",IF(G2="Deutsch","Kapazität (kW)","装机容量（kW）")))</f>
        <v>Moc (kW)</v>
      </c>
      <c r="E59" s="20"/>
      <c r="F59" s="42"/>
      <c r="G59" s="15"/>
    </row>
    <row r="60" spans="1:7" ht="22.5" customHeight="1">
      <c r="A60" s="16"/>
      <c r="B60" s="33" t="str">
        <f>IF(G2="Polski","Elektrownia wodna",IF(G2="English","Water",IF(G2="Deutsch","Wasserkraft","水电")))</f>
        <v>Elektrownia wodna</v>
      </c>
      <c r="C60" s="38"/>
      <c r="D60" s="14" t="str">
        <f>IF(G2="Polski","Moc (kW)",IF(G2="English","Capacity (kW)",IF(G2="Deutsch","Kapazität (kW)","装机容量（kW）")))</f>
        <v>Moc (kW)</v>
      </c>
      <c r="E60" s="20"/>
      <c r="F60" s="42"/>
      <c r="G60" s="15"/>
    </row>
    <row r="61" spans="1:7" ht="22.5" customHeight="1">
      <c r="A61" s="16"/>
      <c r="B61" s="33" t="str">
        <f>IF(G2="Polski","Agregat prądotwórczy",IF(G2="English","GENSET",IF(G2="Deutsch","Aggregat","油机")))</f>
        <v>Agregat prądotwórczy</v>
      </c>
      <c r="C61" s="38" t="s">
        <v>3</v>
      </c>
      <c r="D61" s="14" t="str">
        <f>IF(G2="Polski","Moc (kVA)",IF(G2="English","Capacity (kVA)",IF(G2="Deutsch","Kapazität (kVA)","装机容量（kVA）")))</f>
        <v>Moc (kVA)</v>
      </c>
      <c r="E61" s="20">
        <v>500</v>
      </c>
      <c r="F61" s="42"/>
      <c r="G61" s="15"/>
    </row>
    <row r="62" spans="1:7" ht="22.5" customHeight="1">
      <c r="A62" s="16"/>
      <c r="B62" s="33" t="str">
        <f>IF(G2="Polski","Inne:",IF(G2="English","Other, please explain:",IF(G2="Deutsch","Andere:","其他，请说明：")))</f>
        <v>Inne:</v>
      </c>
      <c r="C62" s="46" t="s">
        <v>8</v>
      </c>
      <c r="D62" s="49"/>
      <c r="E62" s="14"/>
      <c r="F62" s="14"/>
      <c r="G62" s="15"/>
    </row>
    <row r="63" spans="1:7" ht="14.25" customHeight="1">
      <c r="A63" s="16"/>
      <c r="B63" s="14"/>
      <c r="C63" s="14"/>
      <c r="D63" s="14"/>
      <c r="E63" s="14"/>
      <c r="F63" s="14"/>
      <c r="G63" s="15"/>
    </row>
    <row r="64" spans="1:7" ht="22.5" customHeight="1">
      <c r="A64" s="11">
        <v>11</v>
      </c>
      <c r="B64" s="12" t="str">
        <f>IF(G2="Polski","Czy transformator jest przystosowany?",IF(G2="English","Is transformer ready?",IF(G2="Deutsch","Ist der Trafo bereit?","是否有配套变电站")))</f>
        <v>Czy transformator jest przystosowany?</v>
      </c>
      <c r="C64" s="17"/>
      <c r="D64" s="38" t="s">
        <v>3</v>
      </c>
      <c r="E64" s="14"/>
      <c r="F64" s="14"/>
      <c r="G64" s="15"/>
    </row>
    <row r="65" spans="1:7" ht="14.25" customHeight="1">
      <c r="A65" s="16"/>
      <c r="B65" s="14"/>
      <c r="C65" s="14"/>
      <c r="D65" s="14"/>
      <c r="E65" s="14"/>
      <c r="F65" s="14"/>
      <c r="G65" s="15"/>
    </row>
    <row r="66" spans="1:7" ht="22.5" customHeight="1">
      <c r="A66" s="11">
        <v>12</v>
      </c>
      <c r="B66" s="12" t="str">
        <f>IF(G2="Polski","Specyfikacja stacji trnsformatorowej",IF(G2="English","Transformer Specifications",IF(G2="Deutsch","Trafospezifikationen","变电站规格")))</f>
        <v>Specyfikacja stacji trnsformatorowej</v>
      </c>
      <c r="C66" s="14"/>
      <c r="D66" s="14"/>
      <c r="E66" s="14"/>
      <c r="F66" s="14"/>
      <c r="G66" s="15"/>
    </row>
    <row r="67" spans="1:7" ht="22.5" customHeight="1">
      <c r="A67" s="16"/>
      <c r="B67" s="14" t="s">
        <v>9</v>
      </c>
      <c r="C67" s="14" t="s">
        <v>10</v>
      </c>
      <c r="D67" s="14"/>
      <c r="E67" s="14"/>
      <c r="F67" s="14"/>
      <c r="G67" s="15"/>
    </row>
    <row r="68" spans="1:7" ht="22.5" customHeight="1">
      <c r="A68" s="16"/>
      <c r="B68" s="14" t="str">
        <f>IF(G2="Polski","Inne:",IF(G2="English","Other, please explain:",IF(G2="Deutsch","Andere:","其他，请说明：")))</f>
        <v>Inne:</v>
      </c>
      <c r="C68" s="74"/>
      <c r="D68" s="74"/>
      <c r="E68" s="14"/>
      <c r="F68" s="14"/>
      <c r="G68" s="15"/>
    </row>
    <row r="69" spans="1:7" ht="14.25" customHeight="1">
      <c r="A69" s="16"/>
      <c r="B69" s="23"/>
      <c r="C69" s="14"/>
      <c r="D69" s="14"/>
      <c r="E69" s="14"/>
      <c r="F69" s="14"/>
      <c r="G69" s="15"/>
    </row>
    <row r="70" spans="1:7" ht="22.5" customHeight="1">
      <c r="A70" s="11">
        <v>13</v>
      </c>
      <c r="B70" s="12" t="str">
        <f>IF(G2="Polski","Czy obiekt jest zasilany taryfą wielostrefową?",IF(G2="English","Is there electricity tarrif difference in one day?",IF(G2="Deutsch","Gibt es während des Tages Stromtarifdifferenzen?","是否有电价差")))</f>
        <v>Czy obiekt jest zasilany taryfą wielostrefową?</v>
      </c>
      <c r="C70" s="14"/>
      <c r="D70" s="14"/>
      <c r="E70" s="38" t="s">
        <v>3</v>
      </c>
      <c r="F70" s="42" t="b">
        <f>IF(E70="Yes",TRUE,FALSE)</f>
        <v>1</v>
      </c>
      <c r="G70" s="15"/>
    </row>
    <row r="71" spans="1:7" ht="22.5" customHeight="1">
      <c r="A71" s="16"/>
      <c r="B71" s="14" t="str">
        <f>IF(G2="Polski","Koszt zakupu energii elektrycznej /kWh",IF(G2="English","Standard Electricity Tarrif /kWh",IF(G2="Deutsch","Standarfstromtarif /kWh","固定电价/kWh")))</f>
        <v>Koszt zakupu energii elektrycznej /kWh</v>
      </c>
      <c r="C71" s="17"/>
      <c r="D71" s="50"/>
      <c r="E71" s="14"/>
      <c r="F71" s="14"/>
      <c r="G71" s="15"/>
    </row>
    <row r="72" spans="1:7" ht="22.5" customHeight="1">
      <c r="A72" s="16"/>
      <c r="B72" s="51"/>
      <c r="C72" s="52" t="s">
        <v>11</v>
      </c>
      <c r="D72" s="52" t="s">
        <v>12</v>
      </c>
      <c r="E72" s="52" t="s">
        <v>13</v>
      </c>
      <c r="F72" s="52" t="s">
        <v>14</v>
      </c>
      <c r="G72" s="53"/>
    </row>
    <row r="73" spans="1:7" ht="22.5" customHeight="1">
      <c r="A73" s="16"/>
      <c r="B73" s="54" t="str">
        <f>IF(G2="English","Time",IF(G2="Deutsch","Zeit","Czas"))</f>
        <v>Czas</v>
      </c>
      <c r="C73" s="52"/>
      <c r="D73" s="52"/>
      <c r="E73" s="52"/>
      <c r="F73" s="52"/>
      <c r="G73" s="53"/>
    </row>
    <row r="74" spans="1:7" ht="22.5" customHeight="1">
      <c r="A74" s="16"/>
      <c r="B74" s="54" t="str">
        <f>IF(G2="English","Tarrif",IF(G2="Deutsch","Tarif","Cena energii elektrycznej"))</f>
        <v>Cena energii elektrycznej</v>
      </c>
      <c r="C74" s="52"/>
      <c r="D74" s="52"/>
      <c r="E74" s="52"/>
      <c r="F74" s="52"/>
      <c r="G74" s="53"/>
    </row>
    <row r="75" spans="1:7" ht="22.5" customHeight="1">
      <c r="A75" s="16"/>
      <c r="B75" s="55"/>
      <c r="C75" s="52"/>
      <c r="D75" s="52"/>
      <c r="E75" s="52"/>
      <c r="F75" s="52"/>
      <c r="G75" s="53"/>
    </row>
    <row r="76" spans="1:7" ht="22.5" customHeight="1">
      <c r="A76" s="16"/>
      <c r="B76" s="56"/>
      <c r="C76" s="52"/>
      <c r="D76" s="52"/>
      <c r="E76" s="52"/>
      <c r="F76" s="52"/>
      <c r="G76" s="53"/>
    </row>
    <row r="77" spans="1:7" ht="22.5" customHeight="1">
      <c r="A77" s="16"/>
      <c r="B77" s="52"/>
      <c r="C77" s="52"/>
      <c r="D77" s="52"/>
      <c r="E77" s="52"/>
      <c r="F77" s="52"/>
      <c r="G77" s="53"/>
    </row>
    <row r="78" spans="1:7" ht="22.5" customHeight="1">
      <c r="A78" s="16"/>
      <c r="B78" s="14"/>
      <c r="C78" s="14"/>
      <c r="D78" s="14"/>
      <c r="E78" s="14"/>
      <c r="F78" s="14"/>
      <c r="G78" s="15"/>
    </row>
    <row r="79" spans="1:7" ht="27.75" customHeight="1">
      <c r="A79" s="71" t="str">
        <f>IF(G2="Polski","Wymogi odnośnie parametrów systemu",IF(G2="English","Product Performance Requirements",IF(G2="Deutsch","Produktleistungsanforderungen","产品性能要求")))</f>
        <v>Wymogi odnośnie parametrów systemu</v>
      </c>
      <c r="B79" s="72"/>
      <c r="C79" s="72"/>
      <c r="D79" s="72"/>
      <c r="E79" s="72"/>
      <c r="F79" s="72"/>
      <c r="G79" s="73"/>
    </row>
    <row r="80" spans="1:7" ht="27" customHeight="1">
      <c r="A80" s="11">
        <v>1</v>
      </c>
      <c r="B80" s="12" t="str">
        <f>IF(G2="Polski","Sposób podłączenia",IF(G2="English","Coupling Mode",IF(G2="Deutsch","Kopplungsmodus","耦合类型")))</f>
        <v>Sposób podłączenia</v>
      </c>
      <c r="C80" s="57"/>
      <c r="D80" s="58"/>
      <c r="E80" s="42" t="b">
        <f>IF(C80="DC",TRUE,FALSE)</f>
        <v>0</v>
      </c>
      <c r="F80" s="14"/>
      <c r="G80" s="15"/>
    </row>
    <row r="81" spans="1:7" ht="14.25" customHeight="1">
      <c r="A81" s="16"/>
      <c r="B81" s="14"/>
      <c r="C81" s="14"/>
      <c r="D81" s="14"/>
      <c r="E81" s="14"/>
      <c r="F81" s="14" t="s">
        <v>15</v>
      </c>
      <c r="G81" s="15"/>
    </row>
    <row r="82" spans="1:7" ht="22.5" customHeight="1">
      <c r="A82" s="11">
        <v>2</v>
      </c>
      <c r="B82" s="12" t="str">
        <f>IF(G2="English","System Installation Size Requirements:",IF(G2="Deutsch","Anforderungen an das Speichersystem","Wymagania dotyczące rozmiaru instalacji systemu"))</f>
        <v>Wymagania dotyczące rozmiaru instalacji systemu</v>
      </c>
      <c r="C82" s="14"/>
      <c r="D82" s="14"/>
      <c r="E82" s="14"/>
      <c r="F82" s="14"/>
      <c r="G82" s="15"/>
    </row>
    <row r="83" spans="1:7" ht="24" customHeight="1">
      <c r="A83" s="16"/>
      <c r="B83" s="14" t="str">
        <f>IF(G2="Polski","Wymagana moc magazynu [kW]",IF(G2="English","Installed PCS Power (kW)",IF(G2="Deutsch","PCS-Leistung (kW)","逆变器安装容量（kW）")))</f>
        <v>Wymagana moc magazynu [kW]</v>
      </c>
      <c r="C83" s="14"/>
      <c r="D83" s="38"/>
      <c r="E83" s="14"/>
      <c r="F83" s="14"/>
      <c r="G83" s="15"/>
    </row>
    <row r="84" spans="1:7" ht="24" customHeight="1">
      <c r="A84" s="16"/>
      <c r="B84" s="14" t="str">
        <f>IF(G2="Polski","Wymahana pojemność baterii [kWh]",IF(G2="English","Installed Battery Capacity (kWh)",IF(G2="Deutsch","Batteriekapazität (kWh)","电池安装容量（kWh）")))</f>
        <v>Wymahana pojemność baterii [kWh]</v>
      </c>
      <c r="C84" s="14"/>
      <c r="D84" s="59"/>
      <c r="E84" s="14"/>
      <c r="F84" s="14" t="s">
        <v>16</v>
      </c>
      <c r="G84" s="15"/>
    </row>
    <row r="85" spans="1:7" ht="24" customHeight="1">
      <c r="A85" s="16"/>
      <c r="B85" s="14" t="str">
        <f>IF(G2="English","Installed PV Power on PCS (kWp)",IF(G2="Deutsch","PV-Leistung am PCS (kWp)","PCSMoc instalacji PV（kWp）"))</f>
        <v>PCSMoc instalacji PV（kWp）</v>
      </c>
      <c r="C85" s="14"/>
      <c r="D85" s="60"/>
      <c r="E85" s="14"/>
      <c r="F85" s="14"/>
      <c r="G85" s="15"/>
    </row>
    <row r="86" spans="1:7" ht="24" customHeight="1">
      <c r="A86" s="8"/>
      <c r="B86" s="14" t="str">
        <f>IF(G2="Polski","Model falownika PV",IF(G2="English","PV-INV Model",IF(G2="Deutsch","PV-WR Modell","光伏逆变器型号")))</f>
        <v>Model falownika PV</v>
      </c>
      <c r="C86" s="61"/>
      <c r="D86" s="14" t="str">
        <f>IF(G2="Polski","Moc [kW]",IF(G2="English","PV-INV Power (kW)",IF(G2="Deutsch","PV-WR Leistung (kW)","光伏逆变器功率(kW)")))</f>
        <v>Moc [kW]</v>
      </c>
      <c r="E86" s="61"/>
      <c r="F86" s="14"/>
      <c r="G86" s="15"/>
    </row>
    <row r="87" spans="1:7" ht="24" customHeight="1">
      <c r="A87" s="16"/>
      <c r="B87" s="17" t="str">
        <f>IF(G2="Polski","Sumaryczna moc zainstalowanych modułów PV [kWp]",IF(G2="English","Installed PV Power on PV-Inverter (kWp)",IF(G2="Deutsch","PV-Leistung am PV-WR (kWp)","光伏逆变器侧光伏安装容量（kWp）")))</f>
        <v>Sumaryczna moc zainstalowanych modułów PV [kWp]</v>
      </c>
      <c r="C87" s="14"/>
      <c r="D87" s="38"/>
      <c r="E87" s="14"/>
      <c r="F87" s="14" t="s">
        <v>17</v>
      </c>
      <c r="G87" s="15"/>
    </row>
    <row r="88" spans="1:7" ht="14.25" customHeight="1">
      <c r="A88" s="16"/>
      <c r="B88" s="14"/>
      <c r="C88" s="14"/>
      <c r="D88" s="14"/>
      <c r="E88" s="14"/>
      <c r="F88" s="14"/>
      <c r="G88" s="15"/>
    </row>
    <row r="89" spans="1:7" ht="22.5" customHeight="1">
      <c r="A89" s="11">
        <v>3</v>
      </c>
      <c r="B89" s="12" t="str">
        <f>IF(G2="Polski","Tryb pracy systemu",IF(G2="English","System Operating Mode",IF(G2="Deutsch","Betriebsmodus des Systems","系统运行方式")))</f>
        <v>Tryb pracy systemu</v>
      </c>
      <c r="C89" s="17"/>
      <c r="D89" s="41"/>
      <c r="E89" s="41" t="s">
        <v>18</v>
      </c>
      <c r="F89" s="14"/>
      <c r="G89" s="15"/>
    </row>
    <row r="90" spans="1:7" ht="14.25" customHeight="1">
      <c r="A90" s="35"/>
      <c r="B90" s="19"/>
      <c r="C90" s="19"/>
      <c r="D90" s="19"/>
      <c r="E90" s="19"/>
      <c r="F90" s="19"/>
      <c r="G90" s="62"/>
    </row>
    <row r="91" spans="1:7" ht="22.5" customHeight="1">
      <c r="A91" s="11">
        <v>4</v>
      </c>
      <c r="B91" s="63" t="str">
        <f>IF(G2="Polski","Wymagana długość gwarancji",IF(G2="English","System Warranty Requirements:",IF(G2="Deutsch","Garantieanforderungen des Systems:","质保年限需求")))</f>
        <v>Wymagana długość gwarancji</v>
      </c>
      <c r="C91" s="14"/>
      <c r="D91" s="20"/>
      <c r="E91" s="33" t="str">
        <f>IF(G2="English","Year(s)",IF(G2="Deutsch","Jahr(e)","Lata"))</f>
        <v>Lata</v>
      </c>
      <c r="F91" s="14" t="str">
        <f>IF(G2="English","Product",IF(G2="Deutsch","Produkt","Produkt"))</f>
        <v>Produkt</v>
      </c>
      <c r="G91" s="15"/>
    </row>
    <row r="92" spans="1:7" ht="22.5" customHeight="1">
      <c r="A92" s="16"/>
      <c r="B92" s="14"/>
      <c r="C92" s="14"/>
      <c r="D92" s="64"/>
      <c r="E92" s="33" t="str">
        <f>IF(G2="English","Year(s)",IF(G2="Deutsch","Jahr(e)","Lata"))</f>
        <v>Lata</v>
      </c>
      <c r="F92" s="14" t="str">
        <f>IF(G2="English","Battery performance",IF(G2="Deutsch","Batterieleistung","Żywotność baterii"))</f>
        <v>Żywotność baterii</v>
      </c>
      <c r="G92" s="15"/>
    </row>
    <row r="93" spans="1:7" ht="22.5" customHeight="1">
      <c r="A93" s="16"/>
      <c r="B93" s="14"/>
      <c r="C93" s="14" t="str">
        <f>IF(G2="English","Other, please explain:",IF(G2="Deutsch","Andere:","Inne:"))</f>
        <v>Inne:</v>
      </c>
      <c r="D93" s="64"/>
      <c r="E93" s="14"/>
      <c r="F93" s="14"/>
      <c r="G93" s="15"/>
    </row>
    <row r="94" spans="1:7" ht="15" customHeight="1">
      <c r="A94" s="16"/>
      <c r="B94" s="14"/>
      <c r="C94" s="14"/>
      <c r="D94" s="19"/>
      <c r="E94" s="14"/>
      <c r="F94" s="14"/>
      <c r="G94" s="15"/>
    </row>
    <row r="95" spans="1:7" ht="22.5" customHeight="1">
      <c r="A95" s="11">
        <v>5</v>
      </c>
      <c r="B95" s="12" t="str">
        <f>IF(G2="English","Will the system be dispatched by other device?",IF(G2="Deutsch","Wird das System von einem anderen Gerät gesteuert?","Czy system akceptuje inne harmonogramowanie sprzętu?？"))</f>
        <v>Czy system akceptuje inne harmonogramowanie sprzętu?？</v>
      </c>
      <c r="C95" s="14"/>
      <c r="D95" s="17"/>
      <c r="E95" s="38"/>
      <c r="F95" s="42" t="b">
        <f>IF(E95="Yes",TRUE,FALSE)</f>
        <v>0</v>
      </c>
      <c r="G95" s="15"/>
    </row>
    <row r="96" spans="1:7" ht="22.5" customHeight="1">
      <c r="A96" s="16"/>
      <c r="B96" s="47" t="str">
        <f>IF(G2="English","Communication type",IF(G2="Deutsch","Kommunikationsart","通讯类型"))</f>
        <v>通讯类型</v>
      </c>
      <c r="C96" s="20" t="s">
        <v>19</v>
      </c>
      <c r="D96" s="14"/>
      <c r="E96" s="14"/>
      <c r="F96" s="14"/>
      <c r="G96" s="15"/>
    </row>
    <row r="97" spans="1:7" ht="22.5" customHeight="1">
      <c r="A97" s="16"/>
      <c r="B97" s="47" t="str">
        <f>IF(G2="English","Please choose",IF(G2="Deutsch","Bitte wählen","请选择"))</f>
        <v>请选择</v>
      </c>
      <c r="C97" s="64" t="s">
        <v>20</v>
      </c>
      <c r="D97" s="14"/>
      <c r="E97" s="14"/>
      <c r="F97" s="14"/>
      <c r="G97" s="15"/>
    </row>
    <row r="98" spans="1:7" ht="22.5" customHeight="1">
      <c r="A98" s="16"/>
      <c r="B98" s="14" t="str">
        <f>IF(G2="English","Mode1: other device communicates with Alpha EMS",IF(G2="Deutsch","Mode1: Anderes Gerät kommuniziert mit Alpha EMS","模式1：客户设备与Alpha EMS通讯"))</f>
        <v>模式1：客户设备与Alpha EMS通讯</v>
      </c>
      <c r="C98" s="14"/>
      <c r="D98" s="14"/>
      <c r="E98" s="14"/>
      <c r="F98" s="14"/>
      <c r="G98" s="15"/>
    </row>
    <row r="99" spans="1:7" ht="22.5" customHeight="1">
      <c r="A99" s="16"/>
      <c r="B99" s="14" t="str">
        <f>IF(G2="English","Mode2: other devices communicates with PCS and Alpha BMS",IF(G2="Deutsch","Mode2: Andere Geräte kommunizieren mit PCS und Alpha BMS","模式2：客户设备与PCS和Alpha BMS通讯"))</f>
        <v>模式2：客户设备与PCS和Alpha BMS通讯</v>
      </c>
      <c r="C99" s="14"/>
      <c r="D99" s="14"/>
      <c r="E99" s="14"/>
      <c r="F99" s="14"/>
      <c r="G99" s="15"/>
    </row>
    <row r="100" spans="1:7" ht="22.5" customHeight="1">
      <c r="A100" s="16"/>
      <c r="B100" s="14" t="str">
        <f>IF(G2="English","Mode3: other devices communicates with PCS, that depends on if pcs is integrated with Alpha BMS.",IF(G2="Deutsch","Mode3: Andere Geräte kommunizieren mit PCS (hängt davon ab, ob PCS mit Alpha BMS integriert ist","模式3：客户设备与PCS通讯，取决于PCS已经集成Alpha BMS协议"))</f>
        <v>模式3：客户设备与PCS通讯，取决于PCS已经集成Alpha BMS协议</v>
      </c>
      <c r="C100" s="14"/>
      <c r="D100" s="14"/>
      <c r="E100" s="14"/>
      <c r="F100" s="14"/>
      <c r="G100" s="15"/>
    </row>
    <row r="101" spans="1:7" ht="22.5" customHeight="1">
      <c r="A101" s="16"/>
      <c r="B101" s="47" t="str">
        <f>IF(G2="English","Other, please explain:",IF(G2="Deutsch","Andere:","其他，请说明："))</f>
        <v>其他，请说明：</v>
      </c>
      <c r="C101" s="20"/>
      <c r="D101" s="20"/>
      <c r="E101" s="14"/>
      <c r="F101" s="14"/>
      <c r="G101" s="15"/>
    </row>
    <row r="102" spans="1:7" ht="14.25" customHeight="1">
      <c r="A102" s="24"/>
      <c r="B102" s="26"/>
      <c r="C102" s="26"/>
      <c r="D102" s="26"/>
      <c r="E102" s="26"/>
      <c r="F102" s="26"/>
      <c r="G102" s="27"/>
    </row>
    <row r="103" spans="1:7" ht="22.5" customHeight="1" thickBot="1">
      <c r="A103" s="71" t="str">
        <f>IF(G2="Polski","Inne wymagania dotyczące systemu magazynowania energii",IF(G2="English","Additional Instructions or Other Special Requirements",IF(G2="Deutsch","Zusätzliche Anweisungen oder besondere Anforderungen","补充说明或其他特殊要求")))</f>
        <v>Inne wymagania dotyczące systemu magazynowania energii</v>
      </c>
      <c r="B103" s="72"/>
      <c r="C103" s="72"/>
      <c r="D103" s="72"/>
      <c r="E103" s="72"/>
      <c r="F103" s="72"/>
      <c r="G103" s="73"/>
    </row>
    <row r="104" spans="1:7" ht="31.5" customHeight="1">
      <c r="A104" s="75" t="str">
        <f>IF(G2="Polski","Proszę opisać dodatkowe wymogi lub specjalne zapotrzebowania odnośnie systemu magazynowania energii lub załączyć dokumentację.",IF(G2="English","Further requirements or special request, please provide further documents/explaination.",IF(G2="Deutsch","Bei OEM fügen Sie bitte Dokumente mit näheren Spezifikationen an.","如果是客制化，请提供OEM资料")))</f>
        <v>Proszę opisać dodatkowe wymogi lub specjalne zapotrzebowania odnośnie systemu magazynowania energii lub załączyć dokumentację.</v>
      </c>
      <c r="B104" s="76"/>
      <c r="C104" s="76"/>
      <c r="D104" s="76"/>
      <c r="E104" s="76"/>
      <c r="F104" s="76"/>
      <c r="G104" s="77"/>
    </row>
    <row r="105" spans="1:7" ht="185.25" customHeight="1" thickBot="1">
      <c r="A105" s="68"/>
      <c r="B105" s="69"/>
      <c r="C105" s="69"/>
      <c r="D105" s="69"/>
      <c r="E105" s="69"/>
      <c r="F105" s="69"/>
      <c r="G105" s="70"/>
    </row>
  </sheetData>
  <sheetProtection selectLockedCells="1"/>
  <mergeCells count="11">
    <mergeCell ref="A1:G1"/>
    <mergeCell ref="A4:G4"/>
    <mergeCell ref="C5:F5"/>
    <mergeCell ref="C10:F10"/>
    <mergeCell ref="C23:F23"/>
    <mergeCell ref="A105:G105"/>
    <mergeCell ref="A27:G27"/>
    <mergeCell ref="C68:D68"/>
    <mergeCell ref="A79:G79"/>
    <mergeCell ref="A103:G103"/>
    <mergeCell ref="A104:G104"/>
  </mergeCells>
  <conditionalFormatting sqref="B42:C42">
    <cfRule type="expression" dxfId="19" priority="16">
      <formula>$F$41=FALSE</formula>
    </cfRule>
  </conditionalFormatting>
  <conditionalFormatting sqref="D42:E42">
    <cfRule type="expression" dxfId="18" priority="2">
      <formula>$F$41=FALSE</formula>
    </cfRule>
  </conditionalFormatting>
  <conditionalFormatting sqref="F55 A53:C53 E53:G53">
    <cfRule type="expression" dxfId="17" priority="15">
      <formula>$F$39=FALSE</formula>
    </cfRule>
  </conditionalFormatting>
  <conditionalFormatting sqref="F70">
    <cfRule type="expression" dxfId="16" priority="13">
      <formula>$F$39=FALSE</formula>
    </cfRule>
  </conditionalFormatting>
  <conditionalFormatting sqref="D71">
    <cfRule type="expression" dxfId="15" priority="9">
      <formula>$F$70=FALSE</formula>
    </cfRule>
  </conditionalFormatting>
  <conditionalFormatting sqref="E80">
    <cfRule type="expression" dxfId="14" priority="11">
      <formula>$F$39=FALSE</formula>
    </cfRule>
  </conditionalFormatting>
  <conditionalFormatting sqref="F95">
    <cfRule type="expression" dxfId="13" priority="5">
      <formula>$F$39=FALSE</formula>
    </cfRule>
  </conditionalFormatting>
  <conditionalFormatting sqref="B101:G101">
    <cfRule type="expression" dxfId="12" priority="3">
      <formula>$F$95=FALSE</formula>
    </cfRule>
  </conditionalFormatting>
  <conditionalFormatting sqref="D28 D89">
    <cfRule type="expression" dxfId="11" priority="19">
      <formula>$G$3=FALSE</formula>
    </cfRule>
    <cfRule type="expression" dxfId="10" priority="20">
      <formula>$G$3=TRUE</formula>
    </cfRule>
  </conditionalFormatting>
  <conditionalFormatting sqref="E28 E89">
    <cfRule type="expression" dxfId="9" priority="18">
      <formula>$G$3=FALSE</formula>
    </cfRule>
    <cfRule type="expression" dxfId="8" priority="21">
      <formula>$G$3=TRUE</formula>
    </cfRule>
  </conditionalFormatting>
  <conditionalFormatting sqref="D39:G39 A41:B41 E41">
    <cfRule type="expression" dxfId="7" priority="1">
      <formula>$C$38=FALSE</formula>
    </cfRule>
  </conditionalFormatting>
  <conditionalFormatting sqref="A41:G43">
    <cfRule type="expression" dxfId="6" priority="17">
      <formula>$F$39=FALSE</formula>
    </cfRule>
  </conditionalFormatting>
  <conditionalFormatting sqref="A57:G57 A62:B62 A58:E61 G58:G61 D62:G62">
    <cfRule type="expression" dxfId="5" priority="14">
      <formula>$F$55=FALSE</formula>
    </cfRule>
  </conditionalFormatting>
  <conditionalFormatting sqref="B71 D71">
    <cfRule type="expression" dxfId="4" priority="10">
      <formula>$F$70=TRUE</formula>
    </cfRule>
  </conditionalFormatting>
  <conditionalFormatting sqref="A72:F75 A77:F77 A76 C76:F76">
    <cfRule type="expression" dxfId="3" priority="12">
      <formula>$F$70=FALSE</formula>
    </cfRule>
  </conditionalFormatting>
  <conditionalFormatting sqref="B85:F86 B87:E87">
    <cfRule type="expression" dxfId="2" priority="6">
      <formula>$G$58=FALSE</formula>
    </cfRule>
  </conditionalFormatting>
  <conditionalFormatting sqref="B86:F86 B87:E87">
    <cfRule type="expression" dxfId="1" priority="8">
      <formula>$E$80=TRUE</formula>
    </cfRule>
  </conditionalFormatting>
  <conditionalFormatting sqref="A96:G100 A101">
    <cfRule type="expression" dxfId="0" priority="4">
      <formula>$F$95=FALSE</formula>
    </cfRule>
  </conditionalFormatting>
  <dataValidations count="13">
    <dataValidation type="list" allowBlank="1" showInputMessage="1" showErrorMessage="1" sqref="G2" xr:uid="{00000000-0002-0000-0000-000000000000}">
      <formula1>"中文,English,Deutsch,Polski"</formula1>
    </dataValidation>
    <dataValidation type="list" allowBlank="1" showInputMessage="1" showErrorMessage="1" sqref="F45" xr:uid="{00000000-0002-0000-0000-000001000000}">
      <formula1>"50Hz,60Hz"</formula1>
    </dataValidation>
    <dataValidation type="list" allowBlank="1" showInputMessage="1" showErrorMessage="1" sqref="D28" xr:uid="{00000000-0002-0000-0000-000002000000}">
      <formula1>"Wewnątrz budynku, Na zewnątrz budynku"</formula1>
    </dataValidation>
    <dataValidation type="list" allowBlank="1" showInputMessage="1" showErrorMessage="1" sqref="E41 E53 E55 D64 E70 E95 C58:C61" xr:uid="{00000000-0002-0000-0000-000003000000}">
      <formula1>"Yes, No"</formula1>
    </dataValidation>
    <dataValidation type="list" allowBlank="1" showInputMessage="1" showErrorMessage="1" sqref="E28" xr:uid="{00000000-0002-0000-0000-000004000000}">
      <formula1>"室内,室外"</formula1>
    </dataValidation>
    <dataValidation type="list" allowBlank="1" showInputMessage="1" showErrorMessage="1" sqref="B45" xr:uid="{00000000-0002-0000-0000-000005000000}">
      <formula1>"220/380V, 230/400V, 100/200V, 220V, 315V,101/202V, 110/220V"</formula1>
    </dataValidation>
    <dataValidation type="list" allowBlank="1" showInputMessage="1" showErrorMessage="1" sqref="C39" xr:uid="{00000000-0002-0000-0000-000006000000}">
      <formula1>"Yes,No"</formula1>
    </dataValidation>
    <dataValidation type="list" allowBlank="1" showInputMessage="1" showErrorMessage="1" sqref="D45" xr:uid="{00000000-0002-0000-0000-000007000000}">
      <formula1>"3L+N+PE, 3L+PE, 2L+N+PE"</formula1>
    </dataValidation>
    <dataValidation type="list" allowBlank="1" showInputMessage="1" showErrorMessage="1" sqref="C80" xr:uid="{00000000-0002-0000-0000-000008000000}">
      <formula1>"DC,AC,Hybrid"</formula1>
    </dataValidation>
    <dataValidation type="list" allowBlank="1" showInputMessage="1" showErrorMessage="1" sqref="D89" xr:uid="{00000000-0002-0000-0000-000009000000}">
      <formula1>"on-grid,on-/off-grid,off-grid, off-grid with GENSET"</formula1>
    </dataValidation>
    <dataValidation type="list" allowBlank="1" showInputMessage="1" showErrorMessage="1" sqref="E89" xr:uid="{00000000-0002-0000-0000-00000A000000}">
      <formula1>"纯并网,并离网做后备,纯离网,离网接柴油机"</formula1>
    </dataValidation>
    <dataValidation type="list" allowBlank="1" showInputMessage="1" showErrorMessage="1" sqref="C96" xr:uid="{00000000-0002-0000-0000-00000B000000}">
      <formula1>"CAN, ModbusRTU, ModbusTCP"</formula1>
    </dataValidation>
    <dataValidation type="list" allowBlank="1" showInputMessage="1" showErrorMessage="1" sqref="C97" xr:uid="{00000000-0002-0000-0000-00000C000000}">
      <formula1>"Mode1, Mode2, Mode3"</formula1>
    </dataValidation>
  </dataValidations>
  <pageMargins left="0.70866141732283505" right="0.35433070866141703" top="0.74803149606299202" bottom="0.56000000000000005" header="0.31496062992126" footer="0.118110236220472"/>
  <pageSetup paperSize="9" scale="75" fitToHeight="0" orientation="portrait" r:id="rId1"/>
  <headerFooter>
    <oddHeader>&amp;L&amp;"黑体,常规"&amp;F&amp;R&amp;"黑体,常规"&amp;P/&amp;N</oddHeader>
    <oddFooter>&amp;C&amp;"华文细黑,常规"Alpha ESS Co., Ltd.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Pict="0">
                <anchor moveWithCells="1">
                  <from>
                    <xdr:col>0</xdr:col>
                    <xdr:colOff>152400</xdr:colOff>
                    <xdr:row>7</xdr:row>
                    <xdr:rowOff>19050</xdr:rowOff>
                  </from>
                  <to>
                    <xdr:col>1</xdr:col>
                    <xdr:colOff>514350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Pict="0">
                <anchor moveWithCells="1">
                  <from>
                    <xdr:col>0</xdr:col>
                    <xdr:colOff>152400</xdr:colOff>
                    <xdr:row>8</xdr:row>
                    <xdr:rowOff>19050</xdr:rowOff>
                  </from>
                  <to>
                    <xdr:col>1</xdr:col>
                    <xdr:colOff>514350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Pict="0">
                <anchor moveWithCells="1">
                  <from>
                    <xdr:col>0</xdr:col>
                    <xdr:colOff>152400</xdr:colOff>
                    <xdr:row>9</xdr:row>
                    <xdr:rowOff>19050</xdr:rowOff>
                  </from>
                  <to>
                    <xdr:col>1</xdr:col>
                    <xdr:colOff>514350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Pict="0">
                <anchor moveWithCells="1">
                  <from>
                    <xdr:col>1</xdr:col>
                    <xdr:colOff>1200150</xdr:colOff>
                    <xdr:row>7</xdr:row>
                    <xdr:rowOff>19050</xdr:rowOff>
                  </from>
                  <to>
                    <xdr:col>1</xdr:col>
                    <xdr:colOff>1790700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Pict="0">
                <anchor moveWithCells="1">
                  <from>
                    <xdr:col>1</xdr:col>
                    <xdr:colOff>1200150</xdr:colOff>
                    <xdr:row>8</xdr:row>
                    <xdr:rowOff>19050</xdr:rowOff>
                  </from>
                  <to>
                    <xdr:col>1</xdr:col>
                    <xdr:colOff>1790700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Pict="0">
                <anchor moveWithCells="1">
                  <from>
                    <xdr:col>3</xdr:col>
                    <xdr:colOff>1123950</xdr:colOff>
                    <xdr:row>7</xdr:row>
                    <xdr:rowOff>19050</xdr:rowOff>
                  </from>
                  <to>
                    <xdr:col>4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Pict="0">
                <anchor moveWithCells="1">
                  <from>
                    <xdr:col>3</xdr:col>
                    <xdr:colOff>1047750</xdr:colOff>
                    <xdr:row>8</xdr:row>
                    <xdr:rowOff>19050</xdr:rowOff>
                  </from>
                  <to>
                    <xdr:col>4</xdr:col>
                    <xdr:colOff>323850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Pict="0">
                <anchor moveWithCells="1">
                  <from>
                    <xdr:col>1</xdr:col>
                    <xdr:colOff>1209675</xdr:colOff>
                    <xdr:row>11</xdr:row>
                    <xdr:rowOff>28575</xdr:rowOff>
                  </from>
                  <to>
                    <xdr:col>1</xdr:col>
                    <xdr:colOff>1800225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Pict="0">
                <anchor moveWithCells="1">
                  <from>
                    <xdr:col>0</xdr:col>
                    <xdr:colOff>171450</xdr:colOff>
                    <xdr:row>16</xdr:row>
                    <xdr:rowOff>285750</xdr:rowOff>
                  </from>
                  <to>
                    <xdr:col>1</xdr:col>
                    <xdr:colOff>523875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Pict="0">
                <anchor moveWithCells="1">
                  <from>
                    <xdr:col>0</xdr:col>
                    <xdr:colOff>171450</xdr:colOff>
                    <xdr:row>18</xdr:row>
                    <xdr:rowOff>19050</xdr:rowOff>
                  </from>
                  <to>
                    <xdr:col>1</xdr:col>
                    <xdr:colOff>523875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Pict="0">
                <anchor moveWithCells="1">
                  <from>
                    <xdr:col>1</xdr:col>
                    <xdr:colOff>1209675</xdr:colOff>
                    <xdr:row>17</xdr:row>
                    <xdr:rowOff>19050</xdr:rowOff>
                  </from>
                  <to>
                    <xdr:col>1</xdr:col>
                    <xdr:colOff>1800225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Pict="0">
                <anchor moveWithCells="1">
                  <from>
                    <xdr:col>1</xdr:col>
                    <xdr:colOff>1209675</xdr:colOff>
                    <xdr:row>18</xdr:row>
                    <xdr:rowOff>19050</xdr:rowOff>
                  </from>
                  <to>
                    <xdr:col>1</xdr:col>
                    <xdr:colOff>1800225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Pict="0">
                <anchor moveWithCells="1">
                  <from>
                    <xdr:col>3</xdr:col>
                    <xdr:colOff>1066800</xdr:colOff>
                    <xdr:row>17</xdr:row>
                    <xdr:rowOff>19050</xdr:rowOff>
                  </from>
                  <to>
                    <xdr:col>4</xdr:col>
                    <xdr:colOff>342900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Pict="0">
                <anchor moveWithCells="1">
                  <from>
                    <xdr:col>0</xdr:col>
                    <xdr:colOff>171450</xdr:colOff>
                    <xdr:row>21</xdr:row>
                    <xdr:rowOff>19050</xdr:rowOff>
                  </from>
                  <to>
                    <xdr:col>1</xdr:col>
                    <xdr:colOff>523875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Pict="0">
                <anchor moveWithCells="1">
                  <from>
                    <xdr:col>1</xdr:col>
                    <xdr:colOff>1323975</xdr:colOff>
                    <xdr:row>21</xdr:row>
                    <xdr:rowOff>19050</xdr:rowOff>
                  </from>
                  <to>
                    <xdr:col>1</xdr:col>
                    <xdr:colOff>1914525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Pict="0">
                <anchor moveWithCells="1">
                  <from>
                    <xdr:col>0</xdr:col>
                    <xdr:colOff>171450</xdr:colOff>
                    <xdr:row>22</xdr:row>
                    <xdr:rowOff>19050</xdr:rowOff>
                  </from>
                  <to>
                    <xdr:col>1</xdr:col>
                    <xdr:colOff>523875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Pict="0">
                <anchor moveWithCells="1">
                  <from>
                    <xdr:col>2</xdr:col>
                    <xdr:colOff>1123950</xdr:colOff>
                    <xdr:row>11</xdr:row>
                    <xdr:rowOff>19050</xdr:rowOff>
                  </from>
                  <to>
                    <xdr:col>3</xdr:col>
                    <xdr:colOff>438150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1" name="Check Box 65">
              <controlPr defaultSize="0" autoPict="0">
                <anchor moveWithCells="1">
                  <from>
                    <xdr:col>0</xdr:col>
                    <xdr:colOff>142875</xdr:colOff>
                    <xdr:row>66</xdr:row>
                    <xdr:rowOff>19050</xdr:rowOff>
                  </from>
                  <to>
                    <xdr:col>1</xdr:col>
                    <xdr:colOff>504825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2" name="Check Box 66">
              <controlPr defaultSize="0" autoPict="0">
                <anchor moveWithCells="1">
                  <from>
                    <xdr:col>1</xdr:col>
                    <xdr:colOff>1209675</xdr:colOff>
                    <xdr:row>66</xdr:row>
                    <xdr:rowOff>19050</xdr:rowOff>
                  </from>
                  <to>
                    <xdr:col>1</xdr:col>
                    <xdr:colOff>1809750</xdr:colOff>
                    <xdr:row>66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3" name="Check Box 105">
              <controlPr defaultSize="0" autoPict="0">
                <anchor moveWithCells="1">
                  <from>
                    <xdr:col>0</xdr:col>
                    <xdr:colOff>171450</xdr:colOff>
                    <xdr:row>35</xdr:row>
                    <xdr:rowOff>57150</xdr:rowOff>
                  </from>
                  <to>
                    <xdr:col>1</xdr:col>
                    <xdr:colOff>533400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4" name="Check Box 106">
              <controlPr defaultSize="0" autoPict="0">
                <anchor moveWithCells="1">
                  <from>
                    <xdr:col>0</xdr:col>
                    <xdr:colOff>171450</xdr:colOff>
                    <xdr:row>36</xdr:row>
                    <xdr:rowOff>57150</xdr:rowOff>
                  </from>
                  <to>
                    <xdr:col>1</xdr:col>
                    <xdr:colOff>533400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5" name="Check Box 107">
              <controlPr defaultSize="0" autoPict="0">
                <anchor moveWithCells="1">
                  <from>
                    <xdr:col>1</xdr:col>
                    <xdr:colOff>1209675</xdr:colOff>
                    <xdr:row>35</xdr:row>
                    <xdr:rowOff>57150</xdr:rowOff>
                  </from>
                  <to>
                    <xdr:col>1</xdr:col>
                    <xdr:colOff>1800225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6" name="Check Box 108">
              <controlPr defaultSize="0" autoPict="0">
                <anchor moveWithCells="1">
                  <from>
                    <xdr:col>2</xdr:col>
                    <xdr:colOff>1133475</xdr:colOff>
                    <xdr:row>36</xdr:row>
                    <xdr:rowOff>38100</xdr:rowOff>
                  </from>
                  <to>
                    <xdr:col>3</xdr:col>
                    <xdr:colOff>447675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7" name="Check Box 109">
              <controlPr defaultSize="0" autoPict="0">
                <anchor moveWithCells="1">
                  <from>
                    <xdr:col>3</xdr:col>
                    <xdr:colOff>1066800</xdr:colOff>
                    <xdr:row>35</xdr:row>
                    <xdr:rowOff>57150</xdr:rowOff>
                  </from>
                  <to>
                    <xdr:col>4</xdr:col>
                    <xdr:colOff>342900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8" name="Check Box 172">
              <controlPr defaultSize="0" autoPict="0">
                <anchor moveWithCells="1">
                  <from>
                    <xdr:col>1</xdr:col>
                    <xdr:colOff>1238250</xdr:colOff>
                    <xdr:row>50</xdr:row>
                    <xdr:rowOff>57150</xdr:rowOff>
                  </from>
                  <to>
                    <xdr:col>1</xdr:col>
                    <xdr:colOff>1809750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9" name="Check Box 175">
              <controlPr defaultSize="0" autoPict="0">
                <anchor moveWithCells="1">
                  <from>
                    <xdr:col>3</xdr:col>
                    <xdr:colOff>1133475</xdr:colOff>
                    <xdr:row>50</xdr:row>
                    <xdr:rowOff>57150</xdr:rowOff>
                  </from>
                  <to>
                    <xdr:col>4</xdr:col>
                    <xdr:colOff>400050</xdr:colOff>
                    <xdr:row>50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614EDD174A7CB741B153CAFEEE811C5E" ma:contentTypeVersion="12" ma:contentTypeDescription="新建文档。" ma:contentTypeScope="" ma:versionID="3902b0485cafcb3923a7e114bb1588c4">
  <xsd:schema xmlns:xsd="http://www.w3.org/2001/XMLSchema" xmlns:xs="http://www.w3.org/2001/XMLSchema" xmlns:p="http://schemas.microsoft.com/office/2006/metadata/properties" xmlns:ns2="f6fe7767-f151-4723-96c0-163e0f965a3b" xmlns:ns3="9012b4b4-454d-4639-9025-a4b217db6d81" targetNamespace="http://schemas.microsoft.com/office/2006/metadata/properties" ma:root="true" ma:fieldsID="4b46873e4d7fac544bfda2e36aea90eb" ns2:_="" ns3:_="">
    <xsd:import namespace="f6fe7767-f151-4723-96c0-163e0f965a3b"/>
    <xsd:import namespace="9012b4b4-454d-4639-9025-a4b217db6d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e7767-f151-4723-96c0-163e0f965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2b4b4-454d-4639-9025-a4b217db6d8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享对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享对象详细信息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676561-EC46-4133-A1D4-583966F1985F}">
  <ds:schemaRefs/>
</ds:datastoreItem>
</file>

<file path=customXml/itemProps2.xml><?xml version="1.0" encoding="utf-8"?>
<ds:datastoreItem xmlns:ds="http://schemas.openxmlformats.org/officeDocument/2006/customXml" ds:itemID="{6DB13BC0-0266-426B-A6D5-C98DF5236E47}">
  <ds:schemaRefs/>
</ds:datastoreItem>
</file>

<file path=customXml/itemProps3.xml><?xml version="1.0" encoding="utf-8"?>
<ds:datastoreItem xmlns:ds="http://schemas.openxmlformats.org/officeDocument/2006/customXml" ds:itemID="{2EE7E011-0931-4ADA-900A-450600D9754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AlphaESS-ESS TRC</vt:lpstr>
      <vt:lpstr>'AlphaESS-ESS TRC'!Obszar_wydruku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Weiwei</dc:creator>
  <cp:lastModifiedBy>Maciej Truchanowicz</cp:lastModifiedBy>
  <cp:lastPrinted>2019-03-14T01:10:00Z</cp:lastPrinted>
  <dcterms:created xsi:type="dcterms:W3CDTF">2019-03-11T12:53:00Z</dcterms:created>
  <dcterms:modified xsi:type="dcterms:W3CDTF">2022-11-07T15:54:01Z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0x010100614EDD174A7CB741B153CAFEEE811C5E</vt:lpwstr>
  </property>
  <property fmtid="{D5CDD505-2E9C-101B-9397-08002B2CF9AE}" pid="3" name="KSOProductBuildVer">
    <vt:lpwstr>2052-11.1.0.12358</vt:lpwstr>
  </property>
  <property fmtid="{D5CDD505-2E9C-101B-9397-08002B2CF9AE}" pid="4" name="ICV">
    <vt:lpwstr>A91ED6B79BA14DD5B4CD2E4182516571</vt:lpwstr>
  </property>
</Properties>
</file>